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Marketing\Materiais\Conteúdos Ricos\"/>
    </mc:Choice>
  </mc:AlternateContent>
  <xr:revisionPtr revIDLastSave="0" documentId="8_{CDE29F28-9CFF-4B16-BFC2-0014C36BD905}" xr6:coauthVersionLast="47" xr6:coauthVersionMax="47" xr10:uidLastSave="{00000000-0000-0000-0000-000000000000}"/>
  <bookViews>
    <workbookView xWindow="-108" yWindow="-108" windowWidth="23256" windowHeight="12456" tabRatio="810" firstSheet="1" activeTab="2" xr2:uid="{00000000-000D-0000-FFFF-FFFF00000000}"/>
  </bookViews>
  <sheets>
    <sheet name="modelos taxas" sheetId="2" state="hidden" r:id="rId1"/>
    <sheet name="Dados à Preencher" sheetId="1" r:id="rId2"/>
    <sheet name="Custo Importação Direta" sheetId="3" r:id="rId3"/>
    <sheet name="Custo Internado Itens" sheetId="4" r:id="rId4"/>
    <sheet name="Tabelas portos" sheetId="8" state="hidden" r:id="rId5"/>
    <sheet name="assessoria- realizado por item" sheetId="10"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3" l="1"/>
  <c r="D12" i="3"/>
  <c r="E61" i="1"/>
  <c r="E63" i="1"/>
  <c r="E64" i="1"/>
  <c r="E65" i="1"/>
  <c r="E66" i="1"/>
  <c r="E67" i="1"/>
  <c r="E68" i="1"/>
  <c r="E69" i="1"/>
  <c r="E70" i="1"/>
  <c r="E71" i="1"/>
  <c r="E72" i="1"/>
  <c r="E73" i="1"/>
  <c r="E74" i="1"/>
  <c r="E58" i="1"/>
  <c r="E59" i="1"/>
  <c r="E57" i="1"/>
  <c r="C77" i="1"/>
  <c r="E40" i="1"/>
  <c r="E41" i="1"/>
  <c r="E42" i="1"/>
  <c r="E43" i="1"/>
  <c r="E44" i="1"/>
  <c r="E45" i="1"/>
  <c r="E46" i="1"/>
  <c r="E47" i="1"/>
  <c r="E48" i="1"/>
  <c r="E39" i="1"/>
  <c r="F29" i="1"/>
  <c r="I29" i="1" s="1"/>
  <c r="F28" i="1"/>
  <c r="I28" i="1" s="1"/>
  <c r="K49" i="1"/>
  <c r="J49" i="1"/>
  <c r="I49" i="1"/>
  <c r="H49" i="1"/>
  <c r="E49" i="1" l="1"/>
  <c r="C49" i="1" l="1"/>
  <c r="D17" i="3" l="1"/>
  <c r="P114" i="10"/>
  <c r="AN14" i="10" s="1"/>
  <c r="AE114" i="10"/>
  <c r="AA114" i="10"/>
  <c r="W114" i="10"/>
  <c r="S114" i="10"/>
  <c r="K114" i="10"/>
  <c r="M114" i="10"/>
  <c r="AI22" i="10"/>
  <c r="AI114" i="10" s="1"/>
  <c r="J21" i="10"/>
  <c r="J20" i="10"/>
  <c r="J19" i="10"/>
  <c r="J18" i="10"/>
  <c r="J17" i="10"/>
  <c r="J16" i="10"/>
  <c r="J15" i="10"/>
  <c r="J14" i="10"/>
  <c r="J13" i="10"/>
  <c r="J12" i="10"/>
  <c r="J11" i="10"/>
  <c r="J10" i="10"/>
  <c r="J9" i="10"/>
  <c r="J8" i="10"/>
  <c r="B57" i="3"/>
  <c r="B58" i="3"/>
  <c r="B59" i="3"/>
  <c r="B60" i="3"/>
  <c r="B61" i="3"/>
  <c r="F73" i="1"/>
  <c r="F72" i="1"/>
  <c r="B53" i="3"/>
  <c r="B54" i="3"/>
  <c r="B55" i="3"/>
  <c r="B56" i="3"/>
  <c r="B48" i="3"/>
  <c r="I61" i="1"/>
  <c r="K61" i="1" s="1"/>
  <c r="B39" i="8"/>
  <c r="AN61" i="10" l="1"/>
  <c r="AN53" i="10"/>
  <c r="AN109" i="10"/>
  <c r="AN45" i="10"/>
  <c r="AO45" i="10" s="1"/>
  <c r="AN101" i="10"/>
  <c r="AQ101" i="10" s="1"/>
  <c r="AN37" i="10"/>
  <c r="AO37" i="10" s="1"/>
  <c r="J114" i="10"/>
  <c r="AN93" i="10"/>
  <c r="AO93" i="10" s="1"/>
  <c r="AN29" i="10"/>
  <c r="AN85" i="10"/>
  <c r="AN21" i="10"/>
  <c r="AO21" i="10" s="1"/>
  <c r="AN77" i="10"/>
  <c r="AP77" i="10" s="1"/>
  <c r="AN13" i="10"/>
  <c r="AN69" i="10"/>
  <c r="AQ69" i="10" s="1"/>
  <c r="AN108" i="10"/>
  <c r="AQ108" i="10" s="1"/>
  <c r="AN100" i="10"/>
  <c r="AN92" i="10"/>
  <c r="AN84" i="10"/>
  <c r="AO84" i="10" s="1"/>
  <c r="AN76" i="10"/>
  <c r="AQ76" i="10" s="1"/>
  <c r="AN68" i="10"/>
  <c r="AP68" i="10" s="1"/>
  <c r="AN60" i="10"/>
  <c r="AO60" i="10" s="1"/>
  <c r="AN52" i="10"/>
  <c r="AP52" i="10" s="1"/>
  <c r="AN44" i="10"/>
  <c r="AQ44" i="10" s="1"/>
  <c r="AN36" i="10"/>
  <c r="AP36" i="10" s="1"/>
  <c r="AN28" i="10"/>
  <c r="AN20" i="10"/>
  <c r="AN12" i="10"/>
  <c r="AN107" i="10"/>
  <c r="AO107" i="10" s="1"/>
  <c r="AN99" i="10"/>
  <c r="AO99" i="10" s="1"/>
  <c r="AN91" i="10"/>
  <c r="AO91" i="10" s="1"/>
  <c r="AN83" i="10"/>
  <c r="AN75" i="10"/>
  <c r="AQ75" i="10" s="1"/>
  <c r="AN67" i="10"/>
  <c r="AN59" i="10"/>
  <c r="AQ59" i="10" s="1"/>
  <c r="AN51" i="10"/>
  <c r="AO51" i="10" s="1"/>
  <c r="AN43" i="10"/>
  <c r="AN35" i="10"/>
  <c r="AQ35" i="10" s="1"/>
  <c r="AN27" i="10"/>
  <c r="AP27" i="10" s="1"/>
  <c r="AN19" i="10"/>
  <c r="AN11" i="10"/>
  <c r="AN8" i="10"/>
  <c r="AO8" i="10" s="1"/>
  <c r="AN106" i="10"/>
  <c r="AO106" i="10" s="1"/>
  <c r="AN98" i="10"/>
  <c r="AN90" i="10"/>
  <c r="AN82" i="10"/>
  <c r="AP82" i="10" s="1"/>
  <c r="AN74" i="10"/>
  <c r="AO74" i="10" s="1"/>
  <c r="AN66" i="10"/>
  <c r="AQ66" i="10" s="1"/>
  <c r="AN58" i="10"/>
  <c r="AO58" i="10" s="1"/>
  <c r="AN50" i="10"/>
  <c r="AN42" i="10"/>
  <c r="AQ42" i="10" s="1"/>
  <c r="AN34" i="10"/>
  <c r="AO34" i="10" s="1"/>
  <c r="AN26" i="10"/>
  <c r="AO26" i="10" s="1"/>
  <c r="AN18" i="10"/>
  <c r="AN10" i="10"/>
  <c r="AP10" i="10" s="1"/>
  <c r="AN113" i="10"/>
  <c r="AP113" i="10" s="1"/>
  <c r="AN105" i="10"/>
  <c r="AP105" i="10" s="1"/>
  <c r="AN97" i="10"/>
  <c r="AN89" i="10"/>
  <c r="AN81" i="10"/>
  <c r="AN73" i="10"/>
  <c r="AN65" i="10"/>
  <c r="AQ65" i="10" s="1"/>
  <c r="AN57" i="10"/>
  <c r="AO57" i="10" s="1"/>
  <c r="AN49" i="10"/>
  <c r="AO49" i="10" s="1"/>
  <c r="AN41" i="10"/>
  <c r="AP41" i="10" s="1"/>
  <c r="AN33" i="10"/>
  <c r="AO33" i="10" s="1"/>
  <c r="AN25" i="10"/>
  <c r="AN17" i="10"/>
  <c r="AN9" i="10"/>
  <c r="AQ9" i="10" s="1"/>
  <c r="AN112" i="10"/>
  <c r="AQ112" i="10" s="1"/>
  <c r="AN104" i="10"/>
  <c r="AQ104" i="10" s="1"/>
  <c r="AN96" i="10"/>
  <c r="AP96" i="10" s="1"/>
  <c r="AN88" i="10"/>
  <c r="AQ88" i="10" s="1"/>
  <c r="AN80" i="10"/>
  <c r="AN72" i="10"/>
  <c r="AN64" i="10"/>
  <c r="AN56" i="10"/>
  <c r="AO56" i="10" s="1"/>
  <c r="AN48" i="10"/>
  <c r="AO48" i="10" s="1"/>
  <c r="AN40" i="10"/>
  <c r="AP40" i="10" s="1"/>
  <c r="AN32" i="10"/>
  <c r="AO32" i="10" s="1"/>
  <c r="AN24" i="10"/>
  <c r="AP24" i="10" s="1"/>
  <c r="AN16" i="10"/>
  <c r="AN114" i="10"/>
  <c r="AN111" i="10"/>
  <c r="AN103" i="10"/>
  <c r="AN95" i="10"/>
  <c r="AN87" i="10"/>
  <c r="AP87" i="10" s="1"/>
  <c r="AN79" i="10"/>
  <c r="AN71" i="10"/>
  <c r="AN63" i="10"/>
  <c r="AN55" i="10"/>
  <c r="AN47" i="10"/>
  <c r="AO47" i="10" s="1"/>
  <c r="AN39" i="10"/>
  <c r="AP39" i="10" s="1"/>
  <c r="AN31" i="10"/>
  <c r="AO31" i="10" s="1"/>
  <c r="AN23" i="10"/>
  <c r="AN15" i="10"/>
  <c r="AN110" i="10"/>
  <c r="AN102" i="10"/>
  <c r="AO102" i="10" s="1"/>
  <c r="AN94" i="10"/>
  <c r="AN86" i="10"/>
  <c r="AO86" i="10" s="1"/>
  <c r="AN78" i="10"/>
  <c r="AO78" i="10" s="1"/>
  <c r="AN70" i="10"/>
  <c r="AP70" i="10" s="1"/>
  <c r="AN62" i="10"/>
  <c r="AQ62" i="10" s="1"/>
  <c r="AN54" i="10"/>
  <c r="AO54" i="10" s="1"/>
  <c r="AN46" i="10"/>
  <c r="AO46" i="10" s="1"/>
  <c r="AN38" i="10"/>
  <c r="AN30" i="10"/>
  <c r="AO30" i="10" s="1"/>
  <c r="AN22" i="10"/>
  <c r="AP22" i="10" s="1"/>
  <c r="AO109" i="10"/>
  <c r="AO101" i="10"/>
  <c r="AQ92" i="10"/>
  <c r="AP63" i="10"/>
  <c r="AO50" i="10"/>
  <c r="AO38" i="10"/>
  <c r="AO25" i="10"/>
  <c r="AP81" i="10"/>
  <c r="AO72" i="10"/>
  <c r="AO67" i="10"/>
  <c r="AP55" i="10"/>
  <c r="AO61" i="10"/>
  <c r="AO42" i="10"/>
  <c r="AO29" i="10"/>
  <c r="AQ106" i="10"/>
  <c r="AQ84" i="10"/>
  <c r="AO80" i="10"/>
  <c r="AO28" i="10"/>
  <c r="AO94" i="10"/>
  <c r="AO89" i="10"/>
  <c r="AO59" i="10"/>
  <c r="AO22" i="10"/>
  <c r="AO64" i="10"/>
  <c r="AP50" i="10"/>
  <c r="AP33" i="10"/>
  <c r="AQ102" i="10"/>
  <c r="AP84" i="10"/>
  <c r="AP102" i="10"/>
  <c r="AP61" i="10"/>
  <c r="AP28" i="10"/>
  <c r="AQ28" i="10"/>
  <c r="AP44" i="10"/>
  <c r="AP59" i="10"/>
  <c r="AQ51" i="10"/>
  <c r="AQ38" i="10"/>
  <c r="AQ22" i="10"/>
  <c r="AP42" i="10"/>
  <c r="AP38" i="10"/>
  <c r="AP34" i="10"/>
  <c r="AQ61" i="10"/>
  <c r="AQ53" i="10"/>
  <c r="AQ33" i="10"/>
  <c r="AQ25" i="10"/>
  <c r="AQ21" i="10"/>
  <c r="G59" i="3"/>
  <c r="G60" i="3"/>
  <c r="AP106" i="10" l="1"/>
  <c r="AQ45" i="10"/>
  <c r="AQ26" i="10"/>
  <c r="AP30" i="10"/>
  <c r="AP51" i="10"/>
  <c r="AR51" i="10" s="1"/>
  <c r="AT51" i="10" s="1"/>
  <c r="AO52" i="10"/>
  <c r="AO44" i="10"/>
  <c r="AR44" i="10" s="1"/>
  <c r="AQ113" i="10"/>
  <c r="AR113" i="10" s="1"/>
  <c r="AQ41" i="10"/>
  <c r="AP88" i="10"/>
  <c r="AP54" i="10"/>
  <c r="AQ96" i="10"/>
  <c r="AP101" i="10"/>
  <c r="AR101" i="10" s="1"/>
  <c r="AS101" i="10" s="1"/>
  <c r="AO66" i="10"/>
  <c r="AO88" i="10"/>
  <c r="AQ93" i="10"/>
  <c r="AO113" i="10"/>
  <c r="AO96" i="10"/>
  <c r="AO24" i="10"/>
  <c r="AP46" i="10"/>
  <c r="AQ24" i="10"/>
  <c r="AP66" i="10"/>
  <c r="AQ60" i="10"/>
  <c r="AO41" i="10"/>
  <c r="AR41" i="10" s="1"/>
  <c r="AO36" i="10"/>
  <c r="AQ46" i="10"/>
  <c r="AQ54" i="10"/>
  <c r="AR54" i="10" s="1"/>
  <c r="AQ56" i="10"/>
  <c r="AP60" i="10"/>
  <c r="AP45" i="10"/>
  <c r="AR45" i="10" s="1"/>
  <c r="AS45" i="10" s="1"/>
  <c r="AO65" i="10"/>
  <c r="AQ37" i="10"/>
  <c r="AQ70" i="10"/>
  <c r="AO70" i="10"/>
  <c r="AR70" i="10" s="1"/>
  <c r="AO112" i="10"/>
  <c r="AO40" i="10"/>
  <c r="AP112" i="10"/>
  <c r="AQ40" i="10"/>
  <c r="AQ91" i="10"/>
  <c r="AP56" i="10"/>
  <c r="AQ78" i="10"/>
  <c r="AO68" i="10"/>
  <c r="AO87" i="10"/>
  <c r="AQ87" i="10"/>
  <c r="AQ10" i="10"/>
  <c r="AO104" i="10"/>
  <c r="AP57" i="10"/>
  <c r="AP26" i="10"/>
  <c r="AR26" i="10" s="1"/>
  <c r="AT26" i="10" s="1"/>
  <c r="AO10" i="10"/>
  <c r="AQ68" i="10"/>
  <c r="AO39" i="10"/>
  <c r="AP104" i="10"/>
  <c r="AQ57" i="10"/>
  <c r="AQ39" i="10"/>
  <c r="E60" i="3"/>
  <c r="AR84" i="10"/>
  <c r="AR61" i="10"/>
  <c r="AS61" i="10" s="1"/>
  <c r="AR33" i="10"/>
  <c r="AS33" i="10" s="1"/>
  <c r="AR59" i="10"/>
  <c r="AS59" i="10" s="1"/>
  <c r="AP89" i="10"/>
  <c r="AP49" i="10"/>
  <c r="AQ36" i="10"/>
  <c r="AP93" i="10"/>
  <c r="AQ89" i="10"/>
  <c r="AP107" i="10"/>
  <c r="AQ107" i="10"/>
  <c r="AQ32" i="10"/>
  <c r="AQ74" i="10"/>
  <c r="AP32" i="10"/>
  <c r="AQ81" i="10"/>
  <c r="AR28" i="10"/>
  <c r="AS28" i="10" s="1"/>
  <c r="AQ47" i="10"/>
  <c r="AR106" i="10"/>
  <c r="AS106" i="10" s="1"/>
  <c r="AP65" i="10"/>
  <c r="AQ49" i="10"/>
  <c r="AP21" i="10"/>
  <c r="AR21" i="10" s="1"/>
  <c r="AP74" i="10"/>
  <c r="AQ52" i="10"/>
  <c r="AR52" i="10" s="1"/>
  <c r="AS52" i="10" s="1"/>
  <c r="AO81" i="10"/>
  <c r="AP91" i="10"/>
  <c r="AQ77" i="10"/>
  <c r="AP94" i="10"/>
  <c r="AQ94" i="10"/>
  <c r="AO77" i="10"/>
  <c r="AP99" i="10"/>
  <c r="AQ99" i="10"/>
  <c r="AO85" i="10"/>
  <c r="AQ85" i="10"/>
  <c r="AQ29" i="10"/>
  <c r="AR38" i="10"/>
  <c r="AS38" i="10" s="1"/>
  <c r="AQ64" i="10"/>
  <c r="AP47" i="10"/>
  <c r="AO82" i="10"/>
  <c r="AQ82" i="10"/>
  <c r="AO110" i="10"/>
  <c r="AP110" i="10"/>
  <c r="AP75" i="10"/>
  <c r="AO75" i="10"/>
  <c r="AP79" i="10"/>
  <c r="AQ79" i="10"/>
  <c r="AO79" i="10"/>
  <c r="AR42" i="10"/>
  <c r="AT42" i="10" s="1"/>
  <c r="AQ50" i="10"/>
  <c r="AR50" i="10" s="1"/>
  <c r="AT50" i="10" s="1"/>
  <c r="AP64" i="10"/>
  <c r="AQ110" i="10"/>
  <c r="AP58" i="10"/>
  <c r="AO27" i="10"/>
  <c r="AQ27" i="10"/>
  <c r="AO35" i="10"/>
  <c r="AP35" i="10"/>
  <c r="AQ80" i="10"/>
  <c r="AP80" i="10"/>
  <c r="AP92" i="10"/>
  <c r="AO92" i="10"/>
  <c r="AP71" i="10"/>
  <c r="AO71" i="10"/>
  <c r="AQ71" i="10"/>
  <c r="AO111" i="10"/>
  <c r="AP111" i="10"/>
  <c r="AQ111" i="10"/>
  <c r="AO97" i="10"/>
  <c r="AQ97" i="10"/>
  <c r="AO103" i="10"/>
  <c r="AP103" i="10"/>
  <c r="AQ103" i="10"/>
  <c r="AO105" i="10"/>
  <c r="AQ105" i="10"/>
  <c r="AO83" i="10"/>
  <c r="AQ83" i="10"/>
  <c r="AP100" i="10"/>
  <c r="AO100" i="10"/>
  <c r="AQ58" i="10"/>
  <c r="AP67" i="10"/>
  <c r="AQ72" i="10"/>
  <c r="AQ31" i="10"/>
  <c r="AP83" i="10"/>
  <c r="AO23" i="10"/>
  <c r="AP23" i="10"/>
  <c r="AQ23" i="10"/>
  <c r="AP90" i="10"/>
  <c r="AO90" i="10"/>
  <c r="AQ90" i="10"/>
  <c r="AP43" i="10"/>
  <c r="AO43" i="10"/>
  <c r="AQ43" i="10"/>
  <c r="AQ86" i="10"/>
  <c r="AP86" i="10"/>
  <c r="AO73" i="10"/>
  <c r="AP73" i="10"/>
  <c r="AQ73" i="10"/>
  <c r="AP25" i="10"/>
  <c r="AR25" i="10" s="1"/>
  <c r="AS25" i="10" s="1"/>
  <c r="AR22" i="10"/>
  <c r="AT22" i="10" s="1"/>
  <c r="AQ30" i="10"/>
  <c r="AQ48" i="10"/>
  <c r="AP72" i="10"/>
  <c r="AQ100" i="10"/>
  <c r="AP78" i="10"/>
  <c r="AP31" i="10"/>
  <c r="AP37" i="10"/>
  <c r="AO53" i="10"/>
  <c r="AP53" i="10"/>
  <c r="AO95" i="10"/>
  <c r="AP95" i="10"/>
  <c r="AQ95" i="10"/>
  <c r="AO55" i="10"/>
  <c r="AQ55" i="10"/>
  <c r="AP108" i="10"/>
  <c r="AO108" i="10"/>
  <c r="AO63" i="10"/>
  <c r="AQ63" i="10"/>
  <c r="AP109" i="10"/>
  <c r="AQ109" i="10"/>
  <c r="AQ67" i="10"/>
  <c r="AR67" i="10" s="1"/>
  <c r="AT67" i="10" s="1"/>
  <c r="AO76" i="10"/>
  <c r="AP29" i="10"/>
  <c r="AQ34" i="10"/>
  <c r="AR34" i="10" s="1"/>
  <c r="AP76" i="10"/>
  <c r="AP48" i="10"/>
  <c r="AP97" i="10"/>
  <c r="AP85" i="10"/>
  <c r="AO98" i="10"/>
  <c r="AP98" i="10"/>
  <c r="AQ98" i="10"/>
  <c r="AO62" i="10"/>
  <c r="AP62" i="10"/>
  <c r="AO69" i="10"/>
  <c r="AP69" i="10"/>
  <c r="AP9" i="10"/>
  <c r="AR88" i="10"/>
  <c r="AS88" i="10" s="1"/>
  <c r="AR102" i="10"/>
  <c r="AO9" i="10"/>
  <c r="AP18" i="10"/>
  <c r="AQ18" i="10"/>
  <c r="AO18" i="10"/>
  <c r="AO12" i="10"/>
  <c r="AP12" i="10"/>
  <c r="AQ12" i="10"/>
  <c r="AO20" i="10"/>
  <c r="AP20" i="10"/>
  <c r="AQ20" i="10"/>
  <c r="AO13" i="10"/>
  <c r="AP13" i="10"/>
  <c r="AQ13" i="10"/>
  <c r="AQ16" i="10"/>
  <c r="AP16" i="10"/>
  <c r="AO16" i="10"/>
  <c r="AP8" i="10"/>
  <c r="AQ8" i="10"/>
  <c r="AQ17" i="10"/>
  <c r="AO17" i="10"/>
  <c r="AP17" i="10"/>
  <c r="AO11" i="10"/>
  <c r="AP11" i="10"/>
  <c r="AQ11" i="10"/>
  <c r="AO19" i="10"/>
  <c r="AP19" i="10"/>
  <c r="AQ19" i="10"/>
  <c r="AO15" i="10"/>
  <c r="AP15" i="10"/>
  <c r="AQ15" i="10"/>
  <c r="AP14" i="10"/>
  <c r="AO14" i="10"/>
  <c r="AQ14" i="10"/>
  <c r="E59" i="3"/>
  <c r="AR30" i="10" l="1"/>
  <c r="AT30" i="10" s="1"/>
  <c r="AR65" i="10"/>
  <c r="AR24" i="10"/>
  <c r="AS24" i="10" s="1"/>
  <c r="AR93" i="10"/>
  <c r="AT93" i="10" s="1"/>
  <c r="AV93" i="10" s="1"/>
  <c r="AW93" i="10" s="1"/>
  <c r="AR96" i="10"/>
  <c r="AT96" i="10" s="1"/>
  <c r="AV96" i="10" s="1"/>
  <c r="AW96" i="10" s="1"/>
  <c r="AR60" i="10"/>
  <c r="AT60" i="10" s="1"/>
  <c r="AU60" i="10" s="1"/>
  <c r="AT28" i="10"/>
  <c r="AV28" i="10" s="1"/>
  <c r="AW28" i="10" s="1"/>
  <c r="AR37" i="10"/>
  <c r="AS37" i="10" s="1"/>
  <c r="AR91" i="10"/>
  <c r="AS91" i="10" s="1"/>
  <c r="AR36" i="10"/>
  <c r="AS36" i="10" s="1"/>
  <c r="AR66" i="10"/>
  <c r="AS66" i="10" s="1"/>
  <c r="AR10" i="10"/>
  <c r="AS10" i="10" s="1"/>
  <c r="AR112" i="10"/>
  <c r="AR94" i="10"/>
  <c r="AT94" i="10" s="1"/>
  <c r="AR104" i="10"/>
  <c r="AT104" i="10" s="1"/>
  <c r="AU104" i="10" s="1"/>
  <c r="AR40" i="10"/>
  <c r="AS40" i="10" s="1"/>
  <c r="AR46" i="10"/>
  <c r="AS46" i="10" s="1"/>
  <c r="AR68" i="10"/>
  <c r="AS68" i="10" s="1"/>
  <c r="AT61" i="10"/>
  <c r="AU61" i="10" s="1"/>
  <c r="AS54" i="10"/>
  <c r="AT54" i="10"/>
  <c r="AV54" i="10" s="1"/>
  <c r="AW54" i="10" s="1"/>
  <c r="AS96" i="10"/>
  <c r="AS41" i="10"/>
  <c r="AT41" i="10"/>
  <c r="AV41" i="10" s="1"/>
  <c r="AW41" i="10" s="1"/>
  <c r="AR56" i="10"/>
  <c r="AS56" i="10" s="1"/>
  <c r="AT101" i="10"/>
  <c r="AV101" i="10" s="1"/>
  <c r="AW101" i="10" s="1"/>
  <c r="AR78" i="10"/>
  <c r="AS78" i="10" s="1"/>
  <c r="AS51" i="10"/>
  <c r="AR57" i="10"/>
  <c r="AS57" i="10" s="1"/>
  <c r="AS42" i="10"/>
  <c r="AT112" i="10"/>
  <c r="AU112" i="10" s="1"/>
  <c r="AS112" i="10"/>
  <c r="AR29" i="10"/>
  <c r="AT29" i="10" s="1"/>
  <c r="AV29" i="10" s="1"/>
  <c r="AW29" i="10" s="1"/>
  <c r="AR87" i="10"/>
  <c r="AT87" i="10" s="1"/>
  <c r="AS22" i="10"/>
  <c r="AR75" i="10"/>
  <c r="AT75" i="10" s="1"/>
  <c r="AV75" i="10" s="1"/>
  <c r="AW75" i="10" s="1"/>
  <c r="AT59" i="10"/>
  <c r="AU59" i="10" s="1"/>
  <c r="AR86" i="10"/>
  <c r="AT86" i="10" s="1"/>
  <c r="AV86" i="10" s="1"/>
  <c r="AW86" i="10" s="1"/>
  <c r="AR81" i="10"/>
  <c r="AT81" i="10" s="1"/>
  <c r="AR39" i="10"/>
  <c r="AT45" i="10"/>
  <c r="AV45" i="10" s="1"/>
  <c r="AW45" i="10" s="1"/>
  <c r="AR69" i="10"/>
  <c r="AT69" i="10" s="1"/>
  <c r="AR49" i="10"/>
  <c r="AT49" i="10" s="1"/>
  <c r="AT106" i="10"/>
  <c r="AU106" i="10" s="1"/>
  <c r="AT33" i="10"/>
  <c r="AU33" i="10" s="1"/>
  <c r="AR74" i="10"/>
  <c r="AS74" i="10" s="1"/>
  <c r="AR89" i="10"/>
  <c r="AS89" i="10" s="1"/>
  <c r="AS84" i="10"/>
  <c r="AT84" i="10"/>
  <c r="AR77" i="10"/>
  <c r="AS77" i="10" s="1"/>
  <c r="AS21" i="10"/>
  <c r="AT21" i="10"/>
  <c r="AV21" i="10" s="1"/>
  <c r="AW21" i="10" s="1"/>
  <c r="AS67" i="10"/>
  <c r="AR73" i="10"/>
  <c r="AS73" i="10" s="1"/>
  <c r="AR72" i="10"/>
  <c r="AS72" i="10" s="1"/>
  <c r="AR47" i="10"/>
  <c r="AT47" i="10" s="1"/>
  <c r="AU47" i="10" s="1"/>
  <c r="AR32" i="10"/>
  <c r="AS32" i="10" s="1"/>
  <c r="AT38" i="10"/>
  <c r="AU38" i="10" s="1"/>
  <c r="AR53" i="10"/>
  <c r="AS53" i="10" s="1"/>
  <c r="AR48" i="10"/>
  <c r="AR92" i="10"/>
  <c r="AT92" i="10" s="1"/>
  <c r="AT65" i="10"/>
  <c r="AU65" i="10" s="1"/>
  <c r="AS65" i="10"/>
  <c r="AT24" i="10"/>
  <c r="AU24" i="10" s="1"/>
  <c r="AR63" i="10"/>
  <c r="AT63" i="10" s="1"/>
  <c r="AR27" i="10"/>
  <c r="AS27" i="10" s="1"/>
  <c r="AR99" i="10"/>
  <c r="AT52" i="10"/>
  <c r="AU52" i="10" s="1"/>
  <c r="AR109" i="10"/>
  <c r="AS109" i="10" s="1"/>
  <c r="AR62" i="10"/>
  <c r="AT62" i="10" s="1"/>
  <c r="AR107" i="10"/>
  <c r="AS93" i="10"/>
  <c r="AT91" i="10"/>
  <c r="AR108" i="10"/>
  <c r="AS108" i="10" s="1"/>
  <c r="AS26" i="10"/>
  <c r="AR31" i="10"/>
  <c r="AR82" i="10"/>
  <c r="AT82" i="10" s="1"/>
  <c r="AS30" i="10"/>
  <c r="AR100" i="10"/>
  <c r="AS100" i="10" s="1"/>
  <c r="AS113" i="10"/>
  <c r="AT113" i="10"/>
  <c r="AR9" i="10"/>
  <c r="AT9" i="10" s="1"/>
  <c r="AR111" i="10"/>
  <c r="AS111" i="10" s="1"/>
  <c r="AR80" i="10"/>
  <c r="AT80" i="10" s="1"/>
  <c r="AR64" i="10"/>
  <c r="AT34" i="10"/>
  <c r="AV34" i="10" s="1"/>
  <c r="AW34" i="10" s="1"/>
  <c r="AS34" i="10"/>
  <c r="AR23" i="10"/>
  <c r="AR103" i="10"/>
  <c r="AT88" i="10"/>
  <c r="AV88" i="10" s="1"/>
  <c r="AW88" i="10" s="1"/>
  <c r="AS50" i="10"/>
  <c r="AT36" i="10"/>
  <c r="AV36" i="10" s="1"/>
  <c r="AW36" i="10" s="1"/>
  <c r="AR71" i="10"/>
  <c r="AR35" i="10"/>
  <c r="AR95" i="10"/>
  <c r="AT25" i="10"/>
  <c r="AU25" i="10" s="1"/>
  <c r="AR98" i="10"/>
  <c r="AR43" i="10"/>
  <c r="AR83" i="10"/>
  <c r="AR97" i="10"/>
  <c r="AR90" i="10"/>
  <c r="AR85" i="10"/>
  <c r="AR55" i="10"/>
  <c r="AR105" i="10"/>
  <c r="AR110" i="10"/>
  <c r="AR76" i="10"/>
  <c r="AR58" i="10"/>
  <c r="AR79" i="10"/>
  <c r="AT102" i="10"/>
  <c r="AS102" i="10"/>
  <c r="AS94" i="10"/>
  <c r="AU67" i="10"/>
  <c r="AV67" i="10"/>
  <c r="AW67" i="10" s="1"/>
  <c r="AS44" i="10"/>
  <c r="AT44" i="10"/>
  <c r="AT70" i="10"/>
  <c r="AS70" i="10"/>
  <c r="AU26" i="10"/>
  <c r="AV26" i="10"/>
  <c r="AW26" i="10" s="1"/>
  <c r="AU30" i="10"/>
  <c r="AV30" i="10"/>
  <c r="AW30" i="10" s="1"/>
  <c r="AU22" i="10"/>
  <c r="AV22" i="10"/>
  <c r="AW22" i="10" s="1"/>
  <c r="AU51" i="10"/>
  <c r="AV51" i="10"/>
  <c r="AW51" i="10" s="1"/>
  <c r="AU42" i="10"/>
  <c r="AV42" i="10"/>
  <c r="AW42" i="10" s="1"/>
  <c r="AU50" i="10"/>
  <c r="AV50" i="10"/>
  <c r="AW50" i="10" s="1"/>
  <c r="AR20" i="10"/>
  <c r="AR14" i="10"/>
  <c r="AP114" i="10"/>
  <c r="AR12" i="10"/>
  <c r="AR17" i="10"/>
  <c r="AQ114" i="10"/>
  <c r="AR16" i="10"/>
  <c r="AR18" i="10"/>
  <c r="AR8" i="10"/>
  <c r="AS8" i="10" s="1"/>
  <c r="AO114" i="10"/>
  <c r="AR15" i="10"/>
  <c r="AR11" i="10"/>
  <c r="AR13" i="10"/>
  <c r="AR19" i="10"/>
  <c r="E28" i="3"/>
  <c r="I68" i="1"/>
  <c r="K68" i="1" s="1"/>
  <c r="I67" i="1"/>
  <c r="K67" i="1" s="1"/>
  <c r="I69" i="1"/>
  <c r="K69" i="1" s="1"/>
  <c r="I70" i="1"/>
  <c r="K70" i="1" s="1"/>
  <c r="I74" i="1"/>
  <c r="K74" i="1" s="1"/>
  <c r="I66" i="1"/>
  <c r="K66" i="1" s="1"/>
  <c r="I65" i="1"/>
  <c r="K65" i="1" s="1"/>
  <c r="I63" i="1"/>
  <c r="K63" i="1" s="1"/>
  <c r="I57" i="1"/>
  <c r="K57" i="1" s="1"/>
  <c r="AU45" i="10" l="1"/>
  <c r="AT37" i="10"/>
  <c r="AU37" i="10" s="1"/>
  <c r="AV60" i="10"/>
  <c r="AW60" i="10" s="1"/>
  <c r="AU93" i="10"/>
  <c r="AS60" i="10"/>
  <c r="AU28" i="10"/>
  <c r="AU54" i="10"/>
  <c r="AV65" i="10"/>
  <c r="AW65" i="10" s="1"/>
  <c r="AT89" i="10"/>
  <c r="AV89" i="10" s="1"/>
  <c r="AW89" i="10" s="1"/>
  <c r="AS104" i="10"/>
  <c r="AT66" i="10"/>
  <c r="AU66" i="10" s="1"/>
  <c r="AT10" i="10"/>
  <c r="AU10" i="10" s="1"/>
  <c r="AS81" i="10"/>
  <c r="AT57" i="10"/>
  <c r="AV57" i="10" s="1"/>
  <c r="AW57" i="10" s="1"/>
  <c r="AU96" i="10"/>
  <c r="AS69" i="10"/>
  <c r="AV112" i="10"/>
  <c r="AW112" i="10" s="1"/>
  <c r="AT40" i="10"/>
  <c r="AU101" i="10"/>
  <c r="AV59" i="10"/>
  <c r="AW59" i="10" s="1"/>
  <c r="AU41" i="10"/>
  <c r="AS29" i="10"/>
  <c r="AV61" i="10"/>
  <c r="AW61" i="10" s="1"/>
  <c r="AT68" i="10"/>
  <c r="AU68" i="10" s="1"/>
  <c r="AV33" i="10"/>
  <c r="AW33" i="10" s="1"/>
  <c r="AU29" i="10"/>
  <c r="AT78" i="10"/>
  <c r="AV38" i="10"/>
  <c r="AW38" i="10" s="1"/>
  <c r="AT46" i="10"/>
  <c r="AU46" i="10" s="1"/>
  <c r="AS75" i="10"/>
  <c r="AT56" i="10"/>
  <c r="AV56" i="10" s="1"/>
  <c r="AW56" i="10" s="1"/>
  <c r="AS47" i="10"/>
  <c r="AS9" i="10"/>
  <c r="AV52" i="10"/>
  <c r="AW52" i="10" s="1"/>
  <c r="AV104" i="10"/>
  <c r="AW104" i="10" s="1"/>
  <c r="AT111" i="10"/>
  <c r="AV111" i="10" s="1"/>
  <c r="AW111" i="10" s="1"/>
  <c r="AV87" i="10"/>
  <c r="AW87" i="10" s="1"/>
  <c r="AU87" i="10"/>
  <c r="AS86" i="10"/>
  <c r="AT32" i="10"/>
  <c r="AS87" i="10"/>
  <c r="AS80" i="10"/>
  <c r="AU69" i="10"/>
  <c r="AV69" i="10"/>
  <c r="AW69" i="10" s="1"/>
  <c r="AT77" i="10"/>
  <c r="AU77" i="10" s="1"/>
  <c r="AU34" i="10"/>
  <c r="AT53" i="10"/>
  <c r="AV53" i="10" s="1"/>
  <c r="AW53" i="10" s="1"/>
  <c r="AS39" i="10"/>
  <c r="AT39" i="10"/>
  <c r="AV49" i="10"/>
  <c r="AW49" i="10" s="1"/>
  <c r="AU49" i="10"/>
  <c r="AU92" i="10"/>
  <c r="AV92" i="10"/>
  <c r="AW92" i="10" s="1"/>
  <c r="AT74" i="10"/>
  <c r="AU74" i="10" s="1"/>
  <c r="AS63" i="10"/>
  <c r="AT72" i="10"/>
  <c r="AV72" i="10" s="1"/>
  <c r="AW72" i="10" s="1"/>
  <c r="AV47" i="10"/>
  <c r="AW47" i="10" s="1"/>
  <c r="AT73" i="10"/>
  <c r="AV106" i="10"/>
  <c r="AW106" i="10" s="1"/>
  <c r="AS92" i="10"/>
  <c r="AS49" i="10"/>
  <c r="AV84" i="10"/>
  <c r="AW84" i="10" s="1"/>
  <c r="AU84" i="10"/>
  <c r="AV77" i="10"/>
  <c r="AW77" i="10" s="1"/>
  <c r="AV63" i="10"/>
  <c r="AW63" i="10" s="1"/>
  <c r="AU63" i="10"/>
  <c r="AU62" i="10"/>
  <c r="AV62" i="10"/>
  <c r="AW62" i="10" s="1"/>
  <c r="AS62" i="10"/>
  <c r="AU86" i="10"/>
  <c r="AV25" i="10"/>
  <c r="AW25" i="10" s="1"/>
  <c r="AV74" i="10"/>
  <c r="AW74" i="10" s="1"/>
  <c r="AU75" i="10"/>
  <c r="AU21" i="10"/>
  <c r="AS82" i="10"/>
  <c r="AU88" i="10"/>
  <c r="AU36" i="10"/>
  <c r="AT48" i="10"/>
  <c r="AS48" i="10"/>
  <c r="AU82" i="10"/>
  <c r="AV82" i="10"/>
  <c r="AW82" i="10" s="1"/>
  <c r="AU91" i="10"/>
  <c r="AV91" i="10"/>
  <c r="AW91" i="10" s="1"/>
  <c r="AT27" i="10"/>
  <c r="AV66" i="10"/>
  <c r="AW66" i="10" s="1"/>
  <c r="AT109" i="10"/>
  <c r="AV109" i="10" s="1"/>
  <c r="AW109" i="10" s="1"/>
  <c r="AT108" i="10"/>
  <c r="AT64" i="10"/>
  <c r="AS64" i="10"/>
  <c r="AT107" i="10"/>
  <c r="AS107" i="10"/>
  <c r="AT31" i="10"/>
  <c r="AS31" i="10"/>
  <c r="AV24" i="10"/>
  <c r="AW24" i="10" s="1"/>
  <c r="AT100" i="10"/>
  <c r="AV113" i="10"/>
  <c r="AW113" i="10" s="1"/>
  <c r="AU113" i="10"/>
  <c r="AS99" i="10"/>
  <c r="AT99" i="10"/>
  <c r="AS79" i="10"/>
  <c r="AT79" i="10"/>
  <c r="AS97" i="10"/>
  <c r="AT97" i="10"/>
  <c r="AT98" i="10"/>
  <c r="AS98" i="10"/>
  <c r="AT76" i="10"/>
  <c r="AS76" i="10"/>
  <c r="AS58" i="10"/>
  <c r="AT58" i="10"/>
  <c r="AS71" i="10"/>
  <c r="AT71" i="10"/>
  <c r="AT110" i="10"/>
  <c r="AS110" i="10"/>
  <c r="AS35" i="10"/>
  <c r="AT35" i="10"/>
  <c r="AS105" i="10"/>
  <c r="AT105" i="10"/>
  <c r="AT55" i="10"/>
  <c r="AS55" i="10"/>
  <c r="AS95" i="10"/>
  <c r="AT95" i="10"/>
  <c r="AS90" i="10"/>
  <c r="AT90" i="10"/>
  <c r="AS103" i="10"/>
  <c r="AT103" i="10"/>
  <c r="AV80" i="10"/>
  <c r="AW80" i="10" s="1"/>
  <c r="AU80" i="10"/>
  <c r="AS43" i="10"/>
  <c r="AT43" i="10"/>
  <c r="AT85" i="10"/>
  <c r="AS85" i="10"/>
  <c r="AS83" i="10"/>
  <c r="AT83" i="10"/>
  <c r="AS23" i="10"/>
  <c r="AT23" i="10"/>
  <c r="AU94" i="10"/>
  <c r="AV94" i="10"/>
  <c r="AW94" i="10" s="1"/>
  <c r="AU102" i="10"/>
  <c r="AV102" i="10"/>
  <c r="AW102" i="10" s="1"/>
  <c r="AU44" i="10"/>
  <c r="AV44" i="10"/>
  <c r="AW44" i="10" s="1"/>
  <c r="AU70" i="10"/>
  <c r="AV70" i="10"/>
  <c r="AW70" i="10" s="1"/>
  <c r="AU81" i="10"/>
  <c r="AV81" i="10"/>
  <c r="AW81" i="10" s="1"/>
  <c r="AT17" i="10"/>
  <c r="AS17" i="10"/>
  <c r="AT11" i="10"/>
  <c r="AS11" i="10"/>
  <c r="AT12" i="10"/>
  <c r="AS12" i="10"/>
  <c r="AT15" i="10"/>
  <c r="AS15" i="10"/>
  <c r="AV9" i="10"/>
  <c r="AW9" i="10" s="1"/>
  <c r="AU9" i="10"/>
  <c r="AT14" i="10"/>
  <c r="AS14" i="10"/>
  <c r="AT20" i="10"/>
  <c r="AS20" i="10"/>
  <c r="AT18" i="10"/>
  <c r="AS18" i="10"/>
  <c r="AT13" i="10"/>
  <c r="AS13" i="10"/>
  <c r="AT19" i="10"/>
  <c r="AS19" i="10"/>
  <c r="AT16" i="10"/>
  <c r="AS16" i="10"/>
  <c r="AV10" i="10"/>
  <c r="AW10" i="10" s="1"/>
  <c r="AT8" i="10"/>
  <c r="AU8" i="10" s="1"/>
  <c r="AR114" i="10"/>
  <c r="AV37" i="10" l="1"/>
  <c r="AW37" i="10" s="1"/>
  <c r="AU89" i="10"/>
  <c r="AV46" i="10"/>
  <c r="AW46" i="10" s="1"/>
  <c r="AU57" i="10"/>
  <c r="AU111" i="10"/>
  <c r="AV68" i="10"/>
  <c r="AW68" i="10" s="1"/>
  <c r="AU56" i="10"/>
  <c r="AV40" i="10"/>
  <c r="AW40" i="10" s="1"/>
  <c r="AU40" i="10"/>
  <c r="AU78" i="10"/>
  <c r="AV78" i="10"/>
  <c r="AW78" i="10" s="1"/>
  <c r="AU53" i="10"/>
  <c r="AU32" i="10"/>
  <c r="AV32" i="10"/>
  <c r="AW32" i="10" s="1"/>
  <c r="AU39" i="10"/>
  <c r="AV39" i="10"/>
  <c r="AW39" i="10" s="1"/>
  <c r="AU72" i="10"/>
  <c r="AV73" i="10"/>
  <c r="AW73" i="10" s="1"/>
  <c r="AU73" i="10"/>
  <c r="AU48" i="10"/>
  <c r="AV48" i="10"/>
  <c r="AW48" i="10" s="1"/>
  <c r="AV108" i="10"/>
  <c r="AW108" i="10" s="1"/>
  <c r="AU108" i="10"/>
  <c r="AV99" i="10"/>
  <c r="AW99" i="10" s="1"/>
  <c r="AU99" i="10"/>
  <c r="AU31" i="10"/>
  <c r="AV31" i="10"/>
  <c r="AW31" i="10" s="1"/>
  <c r="AU27" i="10"/>
  <c r="AV27" i="10"/>
  <c r="AW27" i="10" s="1"/>
  <c r="AU107" i="10"/>
  <c r="AV107" i="10"/>
  <c r="AW107" i="10" s="1"/>
  <c r="AU109" i="10"/>
  <c r="AU100" i="10"/>
  <c r="AV100" i="10"/>
  <c r="AW100" i="10" s="1"/>
  <c r="AU64" i="10"/>
  <c r="AV64" i="10"/>
  <c r="AW64" i="10" s="1"/>
  <c r="AU43" i="10"/>
  <c r="AV43" i="10"/>
  <c r="AW43" i="10" s="1"/>
  <c r="AU76" i="10"/>
  <c r="AV76" i="10"/>
  <c r="AW76" i="10" s="1"/>
  <c r="AU110" i="10"/>
  <c r="AV110" i="10"/>
  <c r="AW110" i="10" s="1"/>
  <c r="AU23" i="10"/>
  <c r="AV23" i="10"/>
  <c r="AW23" i="10" s="1"/>
  <c r="AV95" i="10"/>
  <c r="AW95" i="10" s="1"/>
  <c r="AU95" i="10"/>
  <c r="AU98" i="10"/>
  <c r="AV98" i="10"/>
  <c r="AW98" i="10" s="1"/>
  <c r="AU71" i="10"/>
  <c r="AV71" i="10"/>
  <c r="AW71" i="10" s="1"/>
  <c r="AU103" i="10"/>
  <c r="AV103" i="10"/>
  <c r="AW103" i="10" s="1"/>
  <c r="AU55" i="10"/>
  <c r="AV55" i="10"/>
  <c r="AW55" i="10" s="1"/>
  <c r="AV97" i="10"/>
  <c r="AW97" i="10" s="1"/>
  <c r="AU97" i="10"/>
  <c r="AU83" i="10"/>
  <c r="AV83" i="10"/>
  <c r="AW83" i="10" s="1"/>
  <c r="AU105" i="10"/>
  <c r="AV105" i="10"/>
  <c r="AW105" i="10" s="1"/>
  <c r="AV58" i="10"/>
  <c r="AW58" i="10" s="1"/>
  <c r="AU58" i="10"/>
  <c r="AU79" i="10"/>
  <c r="AV79" i="10"/>
  <c r="AW79" i="10" s="1"/>
  <c r="AV85" i="10"/>
  <c r="AW85" i="10" s="1"/>
  <c r="AU85" i="10"/>
  <c r="AV90" i="10"/>
  <c r="AW90" i="10" s="1"/>
  <c r="AU90" i="10"/>
  <c r="AU35" i="10"/>
  <c r="AV35" i="10"/>
  <c r="AW35" i="10" s="1"/>
  <c r="AV15" i="10"/>
  <c r="AW15" i="10" s="1"/>
  <c r="AU15" i="10"/>
  <c r="AV17" i="10"/>
  <c r="AW17" i="10" s="1"/>
  <c r="AU17" i="10"/>
  <c r="AV19" i="10"/>
  <c r="AW19" i="10" s="1"/>
  <c r="AU19" i="10"/>
  <c r="AV12" i="10"/>
  <c r="AW12" i="10" s="1"/>
  <c r="AU12" i="10"/>
  <c r="AV18" i="10"/>
  <c r="AW18" i="10" s="1"/>
  <c r="AU18" i="10"/>
  <c r="AV16" i="10"/>
  <c r="AW16" i="10" s="1"/>
  <c r="AU16" i="10"/>
  <c r="AV13" i="10"/>
  <c r="AW13" i="10" s="1"/>
  <c r="AU13" i="10"/>
  <c r="AV14" i="10"/>
  <c r="AW14" i="10" s="1"/>
  <c r="AU14" i="10"/>
  <c r="AV11" i="10"/>
  <c r="AW11" i="10" s="1"/>
  <c r="AU11" i="10"/>
  <c r="AV20" i="10"/>
  <c r="AW20" i="10" s="1"/>
  <c r="AU20" i="10"/>
  <c r="AV8" i="10"/>
  <c r="AT114" i="10"/>
  <c r="AV114" i="10" l="1"/>
  <c r="AW8" i="10"/>
  <c r="B59" i="8" l="1"/>
  <c r="F58" i="8"/>
  <c r="F57" i="8"/>
  <c r="F45" i="8"/>
  <c r="F44" i="8"/>
  <c r="D6" i="4" l="1"/>
  <c r="G6" i="4"/>
  <c r="I6" i="4"/>
  <c r="D7" i="4"/>
  <c r="G7" i="4"/>
  <c r="I7" i="4"/>
  <c r="D8" i="4"/>
  <c r="G8" i="4"/>
  <c r="I8" i="4"/>
  <c r="D9" i="4"/>
  <c r="G9" i="4"/>
  <c r="I9" i="4"/>
  <c r="D10" i="4"/>
  <c r="G10" i="4"/>
  <c r="I10" i="4"/>
  <c r="D11" i="4"/>
  <c r="G11" i="4"/>
  <c r="I11" i="4"/>
  <c r="D12" i="4"/>
  <c r="G12" i="4"/>
  <c r="I12" i="4"/>
  <c r="D13" i="4"/>
  <c r="G13" i="4"/>
  <c r="I13" i="4"/>
  <c r="B13" i="4"/>
  <c r="C13" i="4"/>
  <c r="B10" i="4"/>
  <c r="C10" i="4"/>
  <c r="B11" i="4"/>
  <c r="C11" i="4"/>
  <c r="B12" i="4"/>
  <c r="C12" i="4"/>
  <c r="B9" i="4"/>
  <c r="C9" i="4"/>
  <c r="A9" i="4"/>
  <c r="A10" i="4"/>
  <c r="A11" i="4"/>
  <c r="A12" i="4"/>
  <c r="A13" i="4"/>
  <c r="D36" i="1" l="1"/>
  <c r="I58" i="1"/>
  <c r="K58" i="1" s="1"/>
  <c r="I5" i="4" l="1"/>
  <c r="I4" i="4"/>
  <c r="D5" i="8"/>
  <c r="D3" i="8"/>
  <c r="D2" i="8"/>
  <c r="I14" i="4" l="1"/>
  <c r="F59" i="3"/>
  <c r="F60" i="3"/>
  <c r="F61" i="1"/>
  <c r="B46" i="8"/>
  <c r="B14" i="8"/>
  <c r="B51" i="8"/>
  <c r="E27" i="8"/>
  <c r="A27" i="8"/>
  <c r="E28" i="8"/>
  <c r="A28" i="8"/>
  <c r="G48" i="3" l="1"/>
  <c r="E48" i="3" s="1"/>
  <c r="F28" i="8"/>
  <c r="E3" i="4"/>
  <c r="F3" i="4"/>
  <c r="F69" i="1"/>
  <c r="B50" i="3"/>
  <c r="B51" i="3"/>
  <c r="B52" i="3"/>
  <c r="G56" i="3" l="1"/>
  <c r="F48" i="3"/>
  <c r="E56" i="3" l="1"/>
  <c r="D35" i="3"/>
  <c r="D33" i="3"/>
  <c r="D34" i="3" l="1"/>
  <c r="D36" i="3"/>
  <c r="E9" i="4" l="1"/>
  <c r="E13" i="4"/>
  <c r="E11" i="4"/>
  <c r="E12" i="4"/>
  <c r="E8" i="4"/>
  <c r="E10" i="4"/>
  <c r="F8" i="4" l="1"/>
  <c r="F11" i="4"/>
  <c r="F12" i="4"/>
  <c r="F13" i="4"/>
  <c r="F9" i="4"/>
  <c r="F10" i="4"/>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78" i="1" l="1"/>
  <c r="C79" i="1"/>
  <c r="B17" i="3"/>
  <c r="E6" i="4" l="1"/>
  <c r="E4" i="4"/>
  <c r="F6" i="3"/>
  <c r="D11" i="3"/>
  <c r="F6" i="4" l="1"/>
  <c r="E7" i="4"/>
  <c r="F56" i="3"/>
  <c r="E36" i="1"/>
  <c r="I59" i="1"/>
  <c r="K59" i="1" s="1"/>
  <c r="G24" i="3"/>
  <c r="B46" i="3"/>
  <c r="H32" i="3"/>
  <c r="O14" i="4"/>
  <c r="E24" i="3" l="1"/>
  <c r="F7" i="4"/>
  <c r="E5" i="4"/>
  <c r="F57" i="1"/>
  <c r="G26" i="3"/>
  <c r="I3" i="4"/>
  <c r="G5" i="4"/>
  <c r="B8" i="4"/>
  <c r="B6" i="4"/>
  <c r="C6" i="4"/>
  <c r="B7" i="4"/>
  <c r="C7" i="4"/>
  <c r="C8" i="4"/>
  <c r="B5" i="4"/>
  <c r="C5" i="4"/>
  <c r="C10" i="3"/>
  <c r="F58" i="1"/>
  <c r="G45" i="3" s="1"/>
  <c r="F59" i="1"/>
  <c r="F63" i="1"/>
  <c r="F64" i="1"/>
  <c r="F65" i="1"/>
  <c r="G52" i="3" s="1"/>
  <c r="F66" i="1"/>
  <c r="G53" i="3" s="1"/>
  <c r="F67" i="1"/>
  <c r="G54" i="3" s="1"/>
  <c r="F68" i="1"/>
  <c r="F71" i="1"/>
  <c r="G58" i="3" s="1"/>
  <c r="F74" i="1"/>
  <c r="G61" i="3" s="1"/>
  <c r="E45" i="3" l="1"/>
  <c r="E61" i="3"/>
  <c r="F61" i="3"/>
  <c r="E58" i="3"/>
  <c r="F58" i="3"/>
  <c r="G55" i="3"/>
  <c r="F26" i="3"/>
  <c r="E26" i="3"/>
  <c r="F24" i="3"/>
  <c r="G51" i="3"/>
  <c r="G50" i="3"/>
  <c r="G46" i="3"/>
  <c r="F70" i="1"/>
  <c r="G57" i="3" s="1"/>
  <c r="I32" i="3" l="1"/>
  <c r="G41" i="3" s="1"/>
  <c r="E55" i="3"/>
  <c r="F75" i="1"/>
  <c r="E57" i="3"/>
  <c r="F57" i="3"/>
  <c r="G25" i="3"/>
  <c r="F55" i="3"/>
  <c r="F52" i="3"/>
  <c r="E52" i="3"/>
  <c r="E46" i="3"/>
  <c r="F54" i="3"/>
  <c r="E54" i="3"/>
  <c r="F51" i="3"/>
  <c r="E51" i="3"/>
  <c r="F50" i="3"/>
  <c r="E50" i="3"/>
  <c r="F53" i="3"/>
  <c r="E53" i="3"/>
  <c r="F46" i="3"/>
  <c r="F45" i="3"/>
  <c r="E41" i="3" l="1"/>
  <c r="E25" i="3"/>
  <c r="P14" i="4"/>
  <c r="F41" i="3"/>
  <c r="F25" i="3"/>
  <c r="A14" i="4"/>
  <c r="A8" i="4"/>
  <c r="A7" i="4"/>
  <c r="A6" i="4"/>
  <c r="D5" i="4"/>
  <c r="A5" i="4"/>
  <c r="G4" i="4"/>
  <c r="D4" i="4"/>
  <c r="C4" i="4"/>
  <c r="B4" i="4"/>
  <c r="A4" i="4"/>
  <c r="G3" i="4"/>
  <c r="D3" i="4"/>
  <c r="C3" i="4"/>
  <c r="B3" i="4"/>
  <c r="A3" i="4"/>
  <c r="F4" i="4" l="1"/>
  <c r="D14" i="4"/>
  <c r="F5" i="4"/>
  <c r="F14" i="4" l="1"/>
  <c r="H4" i="4" l="1"/>
  <c r="H13" i="4"/>
  <c r="H7" i="4"/>
  <c r="H9" i="4"/>
  <c r="H8" i="4"/>
  <c r="H11" i="4"/>
  <c r="H6" i="4"/>
  <c r="H10" i="4"/>
  <c r="H12" i="4"/>
  <c r="G22" i="3"/>
  <c r="H5" i="4"/>
  <c r="J5" i="4" s="1"/>
  <c r="F10" i="3"/>
  <c r="F9" i="3"/>
  <c r="C9" i="3"/>
  <c r="G19" i="3"/>
  <c r="C19" i="3"/>
  <c r="B19" i="3"/>
  <c r="G17" i="3"/>
  <c r="F17" i="3"/>
  <c r="C17" i="3"/>
  <c r="G15" i="3"/>
  <c r="F15" i="3"/>
  <c r="C15" i="3"/>
  <c r="B15" i="3"/>
  <c r="E22" i="3" l="1"/>
  <c r="G31" i="3"/>
  <c r="G64" i="3" s="1"/>
  <c r="H14" i="4"/>
  <c r="J4" i="4"/>
  <c r="X5" i="4"/>
  <c r="O6" i="4"/>
  <c r="P6" i="4"/>
  <c r="J6" i="4"/>
  <c r="P12" i="4"/>
  <c r="O12" i="4"/>
  <c r="J12" i="4"/>
  <c r="P8" i="4"/>
  <c r="O8" i="4"/>
  <c r="J8" i="4"/>
  <c r="P9" i="4"/>
  <c r="O9" i="4"/>
  <c r="J9" i="4"/>
  <c r="O7" i="4"/>
  <c r="P7" i="4"/>
  <c r="J7" i="4"/>
  <c r="P13" i="4"/>
  <c r="O13" i="4"/>
  <c r="J13" i="4"/>
  <c r="O10" i="4"/>
  <c r="P10" i="4"/>
  <c r="J10" i="4"/>
  <c r="P11" i="4"/>
  <c r="O11" i="4"/>
  <c r="J11" i="4"/>
  <c r="F22" i="3"/>
  <c r="O4" i="4"/>
  <c r="P4" i="4"/>
  <c r="P5" i="4"/>
  <c r="G39" i="3"/>
  <c r="F31" i="3" l="1"/>
  <c r="F64" i="3" s="1"/>
  <c r="E31" i="3"/>
  <c r="E64" i="3" s="1"/>
  <c r="J14" i="4"/>
  <c r="E39" i="3"/>
  <c r="X4" i="4"/>
  <c r="K4" i="4"/>
  <c r="N7" i="4"/>
  <c r="X7" i="4"/>
  <c r="K7" i="4"/>
  <c r="M7" i="4"/>
  <c r="X12" i="4"/>
  <c r="K12" i="4"/>
  <c r="N12" i="4"/>
  <c r="M12" i="4"/>
  <c r="M13" i="4"/>
  <c r="N13" i="4"/>
  <c r="X13" i="4"/>
  <c r="K13" i="4"/>
  <c r="M9" i="4"/>
  <c r="N9" i="4"/>
  <c r="X9" i="4"/>
  <c r="K9" i="4"/>
  <c r="M6" i="4"/>
  <c r="N6" i="4"/>
  <c r="X6" i="4"/>
  <c r="K6" i="4"/>
  <c r="X8" i="4"/>
  <c r="K8" i="4"/>
  <c r="N8" i="4"/>
  <c r="M8" i="4"/>
  <c r="N10" i="4"/>
  <c r="X10" i="4"/>
  <c r="K10" i="4"/>
  <c r="M10" i="4"/>
  <c r="N11" i="4"/>
  <c r="X11" i="4"/>
  <c r="K11" i="4"/>
  <c r="M11" i="4"/>
  <c r="F39" i="3"/>
  <c r="G44" i="3"/>
  <c r="G62" i="3" s="1"/>
  <c r="G65" i="3" s="1"/>
  <c r="B44" i="3"/>
  <c r="O5" i="4"/>
  <c r="X14" i="4" l="1"/>
  <c r="E44" i="3"/>
  <c r="L4" i="4"/>
  <c r="Y9" i="4"/>
  <c r="Y12" i="4"/>
  <c r="Y13" i="4"/>
  <c r="L6" i="4"/>
  <c r="L9" i="4"/>
  <c r="Y7" i="4"/>
  <c r="L12" i="4"/>
  <c r="L10" i="4"/>
  <c r="Y8" i="4"/>
  <c r="L8" i="4"/>
  <c r="Y6" i="4"/>
  <c r="Y11" i="4"/>
  <c r="Y10" i="4"/>
  <c r="L11" i="4"/>
  <c r="L7" i="4"/>
  <c r="L13" i="4"/>
  <c r="F44" i="3"/>
  <c r="F65" i="3" s="1"/>
  <c r="Q12" i="4" l="1"/>
  <c r="R12" i="4" s="1"/>
  <c r="Q9" i="4"/>
  <c r="R9" i="4" s="1"/>
  <c r="Q11" i="4"/>
  <c r="R11" i="4" s="1"/>
  <c r="Q7" i="4"/>
  <c r="R7" i="4" s="1"/>
  <c r="Q13" i="4"/>
  <c r="R13" i="4" s="1"/>
  <c r="Q8" i="4"/>
  <c r="R8" i="4" s="1"/>
  <c r="Q10" i="4"/>
  <c r="R10" i="4" s="1"/>
  <c r="Q6" i="4"/>
  <c r="R6" i="4" s="1"/>
  <c r="E65" i="3"/>
  <c r="E62" i="3"/>
  <c r="F62" i="3"/>
  <c r="B45" i="3" l="1"/>
  <c r="G23" i="3" l="1"/>
  <c r="G40" i="3" s="1"/>
  <c r="M4" i="4"/>
  <c r="N4" i="4"/>
  <c r="Q4" i="4" l="1"/>
  <c r="G27" i="3"/>
  <c r="E23" i="3"/>
  <c r="E40" i="3" s="1"/>
  <c r="Y4" i="4"/>
  <c r="F23" i="3"/>
  <c r="M5" i="4"/>
  <c r="K5" i="4"/>
  <c r="N5" i="4"/>
  <c r="N14" i="4" s="1"/>
  <c r="R4" i="4" l="1"/>
  <c r="K14" i="4"/>
  <c r="M14" i="4"/>
  <c r="E27" i="3"/>
  <c r="F27" i="3"/>
  <c r="F29" i="3" s="1"/>
  <c r="F40" i="3"/>
  <c r="G29" i="3"/>
  <c r="Y5" i="4"/>
  <c r="L5" i="4"/>
  <c r="L14" i="4" s="1"/>
  <c r="Q5" i="4" l="1"/>
  <c r="E29" i="3"/>
  <c r="D4" i="8"/>
  <c r="G36" i="3"/>
  <c r="G35" i="3"/>
  <c r="G33" i="3"/>
  <c r="R5" i="4" l="1"/>
  <c r="R14" i="4" s="1"/>
  <c r="Q14" i="4"/>
  <c r="A10" i="8"/>
  <c r="B10" i="8" s="1"/>
  <c r="B17" i="8" s="1"/>
  <c r="B18" i="8" s="1"/>
  <c r="A25" i="8"/>
  <c r="B25" i="8" s="1"/>
  <c r="E29" i="8"/>
  <c r="F56" i="8"/>
  <c r="F59" i="8" s="1"/>
  <c r="B58" i="8"/>
  <c r="B61" i="8" s="1"/>
  <c r="F43" i="8"/>
  <c r="F46" i="8" s="1"/>
  <c r="E25" i="8"/>
  <c r="F25" i="8" s="1"/>
  <c r="A29" i="8"/>
  <c r="B29" i="8" s="1"/>
  <c r="A35" i="8"/>
  <c r="B35" i="8" s="1"/>
  <c r="B42" i="8" s="1"/>
  <c r="F10" i="8"/>
  <c r="B50" i="8"/>
  <c r="B53" i="8" s="1"/>
  <c r="F11" i="8"/>
  <c r="F51" i="8"/>
  <c r="E10" i="8"/>
  <c r="E33" i="3"/>
  <c r="E36" i="3"/>
  <c r="E35" i="3"/>
  <c r="F36" i="3"/>
  <c r="F33" i="3"/>
  <c r="F35" i="3"/>
  <c r="G34" i="3"/>
  <c r="F29" i="8" l="1"/>
  <c r="F31" i="8" s="1"/>
  <c r="B44" i="8"/>
  <c r="B43" i="8"/>
  <c r="B30" i="8"/>
  <c r="B19" i="8"/>
  <c r="E30" i="8"/>
  <c r="F19" i="8"/>
  <c r="E34" i="3"/>
  <c r="F34" i="3"/>
  <c r="D38" i="3" l="1"/>
  <c r="E38" i="3" l="1"/>
  <c r="F38" i="3"/>
  <c r="S14" i="4" l="1"/>
  <c r="S4" i="4" l="1"/>
  <c r="T4" i="4" s="1"/>
  <c r="S5" i="4"/>
  <c r="T5" i="4" s="1"/>
  <c r="S7" i="4"/>
  <c r="T7" i="4" s="1"/>
  <c r="S11" i="4"/>
  <c r="T11" i="4" s="1"/>
  <c r="S13" i="4"/>
  <c r="T13" i="4" s="1"/>
  <c r="S12" i="4"/>
  <c r="T12" i="4" s="1"/>
  <c r="S6" i="4"/>
  <c r="T6" i="4" s="1"/>
  <c r="S8" i="4"/>
  <c r="T8" i="4" s="1"/>
  <c r="S10" i="4"/>
  <c r="T10" i="4" s="1"/>
  <c r="S9" i="4"/>
  <c r="T9" i="4" s="1"/>
  <c r="T14" i="4" l="1"/>
  <c r="U5" i="4" l="1"/>
  <c r="U10" i="4"/>
  <c r="U11" i="4"/>
  <c r="U4" i="4"/>
  <c r="W4" i="4" s="1"/>
  <c r="U8" i="4"/>
  <c r="U9" i="4"/>
  <c r="U6" i="4"/>
  <c r="U13" i="4"/>
  <c r="U7" i="4"/>
  <c r="U12" i="4"/>
  <c r="V4" i="4" l="1"/>
  <c r="U14" i="4"/>
  <c r="V12" i="4"/>
  <c r="W12" i="4"/>
  <c r="V6" i="4"/>
  <c r="W6" i="4"/>
  <c r="W8" i="4"/>
  <c r="V8" i="4"/>
  <c r="W10" i="4"/>
  <c r="V10" i="4"/>
  <c r="V7" i="4"/>
  <c r="W7" i="4"/>
  <c r="V13" i="4"/>
  <c r="W13" i="4"/>
  <c r="V9" i="4"/>
  <c r="W9" i="4"/>
  <c r="W11" i="4"/>
  <c r="V11" i="4"/>
  <c r="W5" i="4"/>
  <c r="V5" i="4"/>
  <c r="V14" i="4" l="1"/>
  <c r="W14" i="4"/>
  <c r="G70" i="3" l="1"/>
  <c r="E70" i="3" s="1"/>
  <c r="G69" i="3"/>
  <c r="E69" i="3" s="1"/>
  <c r="F70" i="3" l="1"/>
  <c r="F69" i="3"/>
  <c r="G37" i="3" l="1"/>
  <c r="G42" i="3" l="1"/>
  <c r="F37" i="3"/>
  <c r="F42" i="3" s="1"/>
  <c r="E37" i="3"/>
  <c r="E42" i="3" s="1"/>
  <c r="E66" i="3" s="1"/>
  <c r="G66" i="3" l="1"/>
  <c r="G67" i="3" s="1"/>
  <c r="E67" i="3"/>
  <c r="E68" i="3" s="1"/>
  <c r="F66" i="3"/>
  <c r="G68" i="3" l="1"/>
  <c r="D67" i="3"/>
  <c r="F67" i="3"/>
  <c r="F68" i="3" l="1"/>
  <c r="D64" i="3"/>
  <c r="D65" i="3"/>
  <c r="D66" i="3"/>
  <c r="M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tc={AA243DBB-2752-4463-9BA2-7A12963C8424}</author>
  </authors>
  <commentList>
    <comment ref="G39" authorId="0" shapeId="0" xr:uid="{AA243DBB-2752-4463-9BA2-7A12963C8424}">
      <text>
        <t>[Comentário encadeado]
Sua versão do Excel permite que você leia este comentário encadeado, no entanto, as edições serão removidas se o arquivo for aberto em uma versão mais recente do Excel. Saiba mais: https://go.microsoft.com/fwlink/?linkid=870924
Comentário:
    Inserir cálculo total do item em dólar</t>
      </text>
    </comment>
  </commentList>
</comments>
</file>

<file path=xl/sharedStrings.xml><?xml version="1.0" encoding="utf-8"?>
<sst xmlns="http://schemas.openxmlformats.org/spreadsheetml/2006/main" count="492" uniqueCount="374">
  <si>
    <t>IMPORTADOR</t>
  </si>
  <si>
    <t>EXPORTADOR</t>
  </si>
  <si>
    <t>MERCADORIA</t>
  </si>
  <si>
    <t>NCM</t>
  </si>
  <si>
    <t>INCOTERM</t>
  </si>
  <si>
    <t>MODALIDADE EMBARQUE</t>
  </si>
  <si>
    <t>ORIGEM</t>
  </si>
  <si>
    <t>DESTINO</t>
  </si>
  <si>
    <t>LOCAL DE DESEMBARAÇO</t>
  </si>
  <si>
    <t>EQUIPAMENTO</t>
  </si>
  <si>
    <t>PESO BRUTO (KG)</t>
  </si>
  <si>
    <t>CUBAGEM (m³)</t>
  </si>
  <si>
    <t>TRANSIT TIME (dias)</t>
  </si>
  <si>
    <t>FREE TIME (dias)</t>
  </si>
  <si>
    <t>FOB</t>
  </si>
  <si>
    <t>RODOVIÁRIO</t>
  </si>
  <si>
    <t>Frete internacional</t>
  </si>
  <si>
    <t xml:space="preserve">R$ </t>
  </si>
  <si>
    <t>Seguro</t>
  </si>
  <si>
    <t>THC</t>
  </si>
  <si>
    <t>Modais</t>
  </si>
  <si>
    <t>Incoterms</t>
  </si>
  <si>
    <t>FCA</t>
  </si>
  <si>
    <t>CPT</t>
  </si>
  <si>
    <t>CIP</t>
  </si>
  <si>
    <t>CFR</t>
  </si>
  <si>
    <t>CIF</t>
  </si>
  <si>
    <t>DAP</t>
  </si>
  <si>
    <t>DPU</t>
  </si>
  <si>
    <t>DDP</t>
  </si>
  <si>
    <t>MARÍTIMO</t>
  </si>
  <si>
    <t>AÉREO</t>
  </si>
  <si>
    <t>FAS</t>
  </si>
  <si>
    <t xml:space="preserve">DESCRIÇÃO </t>
  </si>
  <si>
    <t>QUANTIDADE</t>
  </si>
  <si>
    <t>DÓLAR</t>
  </si>
  <si>
    <t>EURO</t>
  </si>
  <si>
    <t>Total</t>
  </si>
  <si>
    <t>ORDEM</t>
  </si>
  <si>
    <t>II</t>
  </si>
  <si>
    <t>IPI</t>
  </si>
  <si>
    <t>PIS</t>
  </si>
  <si>
    <t>COFINS</t>
  </si>
  <si>
    <t>ICMS</t>
  </si>
  <si>
    <t>Alíq II</t>
  </si>
  <si>
    <t>Alíq IPI</t>
  </si>
  <si>
    <t>Alíq PIS</t>
  </si>
  <si>
    <t>Alíq COFINS</t>
  </si>
  <si>
    <t>MODALIDADE</t>
  </si>
  <si>
    <t>DESEMBARAÇO</t>
  </si>
  <si>
    <t>PESO BRUTO</t>
  </si>
  <si>
    <t>CUBAGEM</t>
  </si>
  <si>
    <t>TRANSIT TIME</t>
  </si>
  <si>
    <t>FREE TIME</t>
  </si>
  <si>
    <t>VALIDADE</t>
  </si>
  <si>
    <t>DESCRIÇÃO</t>
  </si>
  <si>
    <t>VALOR US$</t>
  </si>
  <si>
    <t>VALOR R$</t>
  </si>
  <si>
    <t>Valor CIF</t>
  </si>
  <si>
    <t>Taxa Siscomex</t>
  </si>
  <si>
    <t>AFRMM</t>
  </si>
  <si>
    <t>VALOR EUR</t>
  </si>
  <si>
    <t>IMPORTADOR:</t>
  </si>
  <si>
    <t>MERCADORIA:</t>
  </si>
  <si>
    <t>NCM:</t>
  </si>
  <si>
    <t>PTAX DÓLAR</t>
  </si>
  <si>
    <t>PTAX EURO</t>
  </si>
  <si>
    <t>PROPORÇÃO</t>
  </si>
  <si>
    <t>VALOR ADUANEIRO</t>
  </si>
  <si>
    <t>TAXA SISCOMEX</t>
  </si>
  <si>
    <t>QUANTIDADE DE NCMS</t>
  </si>
  <si>
    <t>VALOR DA DI</t>
  </si>
  <si>
    <t>Adição</t>
  </si>
  <si>
    <t>Valor na DI</t>
  </si>
  <si>
    <t xml:space="preserve">CÁLCULO VALOR ADUANEIRO </t>
  </si>
  <si>
    <t>DESEMBOLSO TOTAL</t>
  </si>
  <si>
    <t>Unitário</t>
  </si>
  <si>
    <t>SIMPLES NACIONAL</t>
  </si>
  <si>
    <t>LUCRO PRESUMIDO</t>
  </si>
  <si>
    <t>LUCRO REAL</t>
  </si>
  <si>
    <t>RATEIO DE CUSTO DE IMPORTAÇÃO POR PRODUTO</t>
  </si>
  <si>
    <t>1- DADOS GERAIS:</t>
  </si>
  <si>
    <t>Moeda invoice fornecedor</t>
  </si>
  <si>
    <t>SIM</t>
  </si>
  <si>
    <t>NÃO</t>
  </si>
  <si>
    <t xml:space="preserve">REAL </t>
  </si>
  <si>
    <t>PRESUMIDO</t>
  </si>
  <si>
    <t>SIMPLES</t>
  </si>
  <si>
    <t>NÃO CONTRIBUINTE</t>
  </si>
  <si>
    <t>COMPOSIÇÃO CUSTO UNITÁRIO IMPORTAÇÃO DIRETA</t>
  </si>
  <si>
    <t>PAGAMENTO MERCADORIA</t>
  </si>
  <si>
    <t>PAGAMENTO FRETE E DESPESAS</t>
  </si>
  <si>
    <t>REGISTRO DI</t>
  </si>
  <si>
    <t>TAXA DÓLAR</t>
  </si>
  <si>
    <t>TAXA EURO</t>
  </si>
  <si>
    <t>TAXAS</t>
  </si>
  <si>
    <t>REVENDA</t>
  </si>
  <si>
    <t>INDUSTRIALIZAÇÃO</t>
  </si>
  <si>
    <t>REAIS</t>
  </si>
  <si>
    <t>TAXA</t>
  </si>
  <si>
    <t>MOEDA</t>
  </si>
  <si>
    <t>VALOR</t>
  </si>
  <si>
    <t>TOTAL CONVERTIDO</t>
  </si>
  <si>
    <t>*Preencher de acordo com os dados da operação</t>
  </si>
  <si>
    <t xml:space="preserve">*Preencher de acordo com a quantidade de linhas necessárias as informações de mercadorias da presente importação, bem como os impostos relativos a ela. </t>
  </si>
  <si>
    <t>EXPORTADOR:</t>
  </si>
  <si>
    <t>Valor da mercadoria  (Para Cálculo de Impostos)</t>
  </si>
  <si>
    <t>CUSTO FINAL SIMPLES NACIONAL</t>
  </si>
  <si>
    <t>CUSTO FINAL LUCRO PRESUMIDO</t>
  </si>
  <si>
    <t>CUSTO FINAL LUCRO REAL</t>
  </si>
  <si>
    <t xml:space="preserve">CUSTO FINAL </t>
  </si>
  <si>
    <t>TAXAS MERCADORIA:</t>
  </si>
  <si>
    <t>Valor aduaneiro (Para Cálculo de Impostos)</t>
  </si>
  <si>
    <t>NA CONFIRMAÇÃO</t>
  </si>
  <si>
    <t>NO EMBARQUE</t>
  </si>
  <si>
    <t>NA CHEGADA</t>
  </si>
  <si>
    <t>%</t>
  </si>
  <si>
    <t>UF</t>
  </si>
  <si>
    <t>AC</t>
  </si>
  <si>
    <t>AL</t>
  </si>
  <si>
    <t>AM</t>
  </si>
  <si>
    <t>AP</t>
  </si>
  <si>
    <t>BA</t>
  </si>
  <si>
    <t>CE</t>
  </si>
  <si>
    <t>DF</t>
  </si>
  <si>
    <t>ES</t>
  </si>
  <si>
    <t>GO</t>
  </si>
  <si>
    <t>MA</t>
  </si>
  <si>
    <t>MG</t>
  </si>
  <si>
    <t>MS</t>
  </si>
  <si>
    <t>MT</t>
  </si>
  <si>
    <t>PA</t>
  </si>
  <si>
    <t>PB</t>
  </si>
  <si>
    <t>PE</t>
  </si>
  <si>
    <t>PI</t>
  </si>
  <si>
    <t>PR</t>
  </si>
  <si>
    <t>RJ</t>
  </si>
  <si>
    <t>RN</t>
  </si>
  <si>
    <t>RO</t>
  </si>
  <si>
    <t>RR</t>
  </si>
  <si>
    <t>RS</t>
  </si>
  <si>
    <t>SC</t>
  </si>
  <si>
    <t>SE</t>
  </si>
  <si>
    <t>SP</t>
  </si>
  <si>
    <t>TO</t>
  </si>
  <si>
    <t>ALIQUOTA CAMEX</t>
  </si>
  <si>
    <t>ALIQUOTA GERAL</t>
  </si>
  <si>
    <t>revenda</t>
  </si>
  <si>
    <t>GERAL UF</t>
  </si>
  <si>
    <t>ATUALIZADO 2023</t>
  </si>
  <si>
    <r>
      <t xml:space="preserve">Defesa comercial </t>
    </r>
    <r>
      <rPr>
        <i/>
        <sz val="12"/>
        <rFont val="Calibri"/>
        <family val="2"/>
        <scheme val="minor"/>
      </rPr>
      <t>(Para Cálculo de Impostos)</t>
    </r>
  </si>
  <si>
    <r>
      <t xml:space="preserve">Frete Internacional </t>
    </r>
    <r>
      <rPr>
        <i/>
        <sz val="12"/>
        <rFont val="Calibri"/>
        <family val="2"/>
        <scheme val="minor"/>
      </rPr>
      <t>(Para Cálculo de Impostos)</t>
    </r>
  </si>
  <si>
    <r>
      <t xml:space="preserve">Despesas de Origem </t>
    </r>
    <r>
      <rPr>
        <i/>
        <sz val="12"/>
        <rFont val="Calibri"/>
        <family val="2"/>
        <scheme val="minor"/>
      </rPr>
      <t>(Para Cálculo de Impostos)</t>
    </r>
  </si>
  <si>
    <t>IMOBILIZADO/AMOSTRA</t>
  </si>
  <si>
    <t>ESTIMATIVA DE CUSTOS PARA IMPORTAÇÃO DIRETA</t>
  </si>
  <si>
    <t>IMPOSTOS E CONTRIBUIÇÕES</t>
  </si>
  <si>
    <t xml:space="preserve">% </t>
  </si>
  <si>
    <r>
      <t xml:space="preserve">IPI- </t>
    </r>
    <r>
      <rPr>
        <sz val="8"/>
        <color theme="1"/>
        <rFont val="Calibri"/>
        <family val="2"/>
        <scheme val="minor"/>
      </rPr>
      <t xml:space="preserve">Imposto sobre produtos Industrializados </t>
    </r>
  </si>
  <si>
    <r>
      <t xml:space="preserve">PIS/PASEP- </t>
    </r>
    <r>
      <rPr>
        <sz val="8"/>
        <color theme="1"/>
        <rFont val="Calibri"/>
        <family val="2"/>
        <scheme val="minor"/>
      </rPr>
      <t>Programa de Integração Social</t>
    </r>
  </si>
  <si>
    <r>
      <t>II-</t>
    </r>
    <r>
      <rPr>
        <sz val="8"/>
        <color theme="1"/>
        <rFont val="Calibri"/>
        <family val="2"/>
        <scheme val="minor"/>
      </rPr>
      <t xml:space="preserve"> Imposto de Importação</t>
    </r>
  </si>
  <si>
    <r>
      <t xml:space="preserve">COFINS- </t>
    </r>
    <r>
      <rPr>
        <sz val="8"/>
        <color theme="1"/>
        <rFont val="Calibri"/>
        <family val="2"/>
        <scheme val="minor"/>
      </rPr>
      <t>Contribuição p Financiamento da Seguridade Social</t>
    </r>
  </si>
  <si>
    <r>
      <t xml:space="preserve">ICMS ST- </t>
    </r>
    <r>
      <rPr>
        <sz val="8"/>
        <color theme="1"/>
        <rFont val="Calibri"/>
        <family val="2"/>
        <scheme val="minor"/>
      </rPr>
      <t>Substituição Tributária</t>
    </r>
  </si>
  <si>
    <r>
      <t>AFRMM-</t>
    </r>
    <r>
      <rPr>
        <sz val="8"/>
        <color theme="1"/>
        <rFont val="Calibri"/>
        <family val="2"/>
        <scheme val="minor"/>
      </rPr>
      <t xml:space="preserve"> Adicional de Frete para Renovação da Marinha Mercante</t>
    </r>
  </si>
  <si>
    <r>
      <t>ICMS-</t>
    </r>
    <r>
      <rPr>
        <sz val="8"/>
        <color theme="1"/>
        <rFont val="Calibri"/>
        <family val="2"/>
        <scheme val="minor"/>
      </rPr>
      <t xml:space="preserve"> Imposto sobre a Circulação de mercadoria e serviços</t>
    </r>
  </si>
  <si>
    <t>INVIÁVEL VIA TRADING</t>
  </si>
  <si>
    <t>CONTA E ORDEM</t>
  </si>
  <si>
    <t>ENCOMENDA</t>
  </si>
  <si>
    <t>PROCESSO VIA TRADING RS-</t>
  </si>
  <si>
    <t>PROCESSO VIA TRADING SC-</t>
  </si>
  <si>
    <t xml:space="preserve">FRETE INTERNACIONAL E DESPESAS </t>
  </si>
  <si>
    <t>OPERAÇÃO SUJEITA À RECOLHIMENTO DE DIFERENCIAL DE ALÍQUOTAS POR PARTE DO ADQUIRENTE (4%). CONFIRMAR COM SUA CONTABILIDADE!</t>
  </si>
  <si>
    <t>Despesa de origem</t>
  </si>
  <si>
    <t>Despesa de destino</t>
  </si>
  <si>
    <t>TOTAL</t>
  </si>
  <si>
    <t>até 300 kgs ou 0,5m³</t>
  </si>
  <si>
    <t>R$176,00 +0,10% do valor da mercadoria</t>
  </si>
  <si>
    <t>TABELAS DTA POA TECA X EADI CAXIAS</t>
  </si>
  <si>
    <t>CASO FAÇA UM DTA DE UM CONTAINER DE 20'/40'</t>
  </si>
  <si>
    <t>PESAGEM/CONTAINER</t>
  </si>
  <si>
    <t>Navegantes NÃO tem LCL</t>
  </si>
  <si>
    <t>NAVEGANTES - LCL</t>
  </si>
  <si>
    <t>PESAGEM/BL</t>
  </si>
  <si>
    <t>ISPS CODE/BL</t>
  </si>
  <si>
    <t>RIO GRANDE - LCL</t>
  </si>
  <si>
    <t>RIO GRANDE - FCL</t>
  </si>
  <si>
    <t>VALOR CIF</t>
  </si>
  <si>
    <t>TONS</t>
  </si>
  <si>
    <t>M³</t>
  </si>
  <si>
    <t>INFOS DO PROCESSO</t>
  </si>
  <si>
    <t>0,35% do valor CIF FIEL DEPÓSITO - minimo R$ 864,00</t>
  </si>
  <si>
    <t>R$ 67,00 por m³ ou TON oque for maior LEVANTE DE CARGA DESCONSOLIDADA</t>
  </si>
  <si>
    <t>0,04% do valor CIF - minimo R$864,00 ARMAZENAGEM DE MERCADORIA IMPORTADA</t>
  </si>
  <si>
    <t>0,12% do valor CIF ARMAZENAGEM DE IMPORTAÇÃO 1º PERIODO</t>
  </si>
  <si>
    <t>Defesa comercial (Anti Dumping) em dólar.</t>
  </si>
  <si>
    <t>FABRICA-PORTO</t>
  </si>
  <si>
    <t>PORTO-PORTO</t>
  </si>
  <si>
    <t>FÁBRICA-FÁBRICA</t>
  </si>
  <si>
    <t>PORTO-FÁBRICA</t>
  </si>
  <si>
    <t>TOTAIS</t>
  </si>
  <si>
    <t>Padrão UF</t>
  </si>
  <si>
    <t xml:space="preserve">PRODUTO TEM ALÍQUOTA DE ICMS DIFERENCIADA? </t>
  </si>
  <si>
    <r>
      <t xml:space="preserve">Seguro Internacional </t>
    </r>
    <r>
      <rPr>
        <i/>
        <sz val="12"/>
        <rFont val="Calibri"/>
        <family val="2"/>
        <scheme val="minor"/>
      </rPr>
      <t>(Para Cálculo de Impostos)</t>
    </r>
  </si>
  <si>
    <t>2- DADOS RELATIVOS A MERCADORIA:</t>
  </si>
  <si>
    <t>3-DADOS RELATIVOS A FRETE E DESPESAS:</t>
  </si>
  <si>
    <t>EXW</t>
  </si>
  <si>
    <t>ITAJAÍ - FCL - PORTONAVE</t>
  </si>
  <si>
    <t>ITAJAÍ - LCL - MULTILOG</t>
  </si>
  <si>
    <t>0,60% do valor CIF armazenagem 1º periodo</t>
  </si>
  <si>
    <t>1,16% do valor CIF- ARMAZENAGEM 10 dias)</t>
  </si>
  <si>
    <t>LEVANTE POR CONTAINER</t>
  </si>
  <si>
    <t>0,28 %AD VALOREM</t>
  </si>
  <si>
    <t>PESAGEM POR CONTAINER</t>
  </si>
  <si>
    <t>PRESENÇA DE CARGA</t>
  </si>
  <si>
    <t>VISTORIA POR CONTAINER</t>
  </si>
  <si>
    <t>PESAGEM</t>
  </si>
  <si>
    <t>INSPEÇÃO NÃO INVASIVA POR CONTAINER</t>
  </si>
  <si>
    <t>CONFERENCIA</t>
  </si>
  <si>
    <t>MOVIMENTAÇÃO DTA CONATINER</t>
  </si>
  <si>
    <t>TRANSFERENCIA</t>
  </si>
  <si>
    <t>DESUNITIZAÇÃO</t>
  </si>
  <si>
    <t>PICKING R$ 31,00 por pallet</t>
  </si>
  <si>
    <t>CARREGAMENTO</t>
  </si>
  <si>
    <t>DTC PORTONAVE</t>
  </si>
  <si>
    <t>VISTORIA NÃO INVASIVA/CONTAINER/ PRESENÇA</t>
  </si>
  <si>
    <t>VISTORIA NÃO INVASIVA/BL / PRESENÇA</t>
  </si>
  <si>
    <t>LEVANTE R$ 41,00 peso ou m³ (maior)</t>
  </si>
  <si>
    <t>DESCONSOLIDAÇÃO DE CARGA - minimo R$ 480,00</t>
  </si>
  <si>
    <t>AEROPORTOS - GUARULHOS</t>
  </si>
  <si>
    <t>0,55% do valor CIF - 1º periodo</t>
  </si>
  <si>
    <t>CAPATAZIA: R$ 0,0569 por quilograma/ Cobrança mínima R$ 18,98</t>
  </si>
  <si>
    <t>CAPATAZIA: R$ 0,9483 por quilograma qdo DTA/ Cobrança mínima, R$ 94,84</t>
  </si>
  <si>
    <t>TAXAS EADI CAXIAS DO SUL - LCL</t>
  </si>
  <si>
    <t>MOVIMENTAÇÃO: R$11,45/m3</t>
  </si>
  <si>
    <t>PESAGEM: R$17,30 POR DOC OU POR CONTAINER</t>
  </si>
  <si>
    <t>AEROPORTOS -VIRACOPOS</t>
  </si>
  <si>
    <t>0,75% do valor CIF - 1º periodo</t>
  </si>
  <si>
    <t>TAXAS EADI CAXIAS DO SUL - FCL</t>
  </si>
  <si>
    <t>CAPATAZIA: R$0,0773 por quilogramapor quilograma</t>
  </si>
  <si>
    <t>CAPATAZIA: 1,2888 por quilograma qdo DTA</t>
  </si>
  <si>
    <t>MOVIMENTAÇÃO: R$ 216,00 BAIXA E LEVANTE</t>
  </si>
  <si>
    <t>QUANTIDADE DE EQUIPAMENTO SE FCL</t>
  </si>
  <si>
    <t xml:space="preserve">  </t>
  </si>
  <si>
    <t>TTD 409 CLIENTE</t>
  </si>
  <si>
    <t>JÚLIA</t>
  </si>
  <si>
    <t>VICTÓRIA</t>
  </si>
  <si>
    <t>LEONARDO</t>
  </si>
  <si>
    <t>CRISTIANE</t>
  </si>
  <si>
    <t>LÚCIA</t>
  </si>
  <si>
    <t>Defesa comercial</t>
  </si>
  <si>
    <t>Registro de DTA</t>
  </si>
  <si>
    <t>Transporte Rodoviário</t>
  </si>
  <si>
    <t>TOTAL COM DTA</t>
  </si>
  <si>
    <t>TOTAL COM LI</t>
  </si>
  <si>
    <t>0,39% do valor CIF- FIEL DEPÓSITO - minimo R$ 961,00</t>
  </si>
  <si>
    <t>0,045% do valor CIF - minimo R$968,00- ARMAZENAGEM DE MERCADORIA IMPORTADA</t>
  </si>
  <si>
    <t>Navegantes - FCL - PORTONAVE</t>
  </si>
  <si>
    <t>Aduaneiro</t>
  </si>
  <si>
    <t>DESPESAS DE ORIGEM</t>
  </si>
  <si>
    <t>DESPESAS DE DESTINO</t>
  </si>
  <si>
    <t>STEVAN</t>
  </si>
  <si>
    <t>ALEXANDRE</t>
  </si>
  <si>
    <t>TAXA EURO (preencher somente se for em euro)</t>
  </si>
  <si>
    <t>WELLINGTON</t>
  </si>
  <si>
    <t>ADIÇÃO</t>
  </si>
  <si>
    <t>NRO DO ITEM NA ADIÇÃO</t>
  </si>
  <si>
    <t>PART NUMBER</t>
  </si>
  <si>
    <t>QUANT</t>
  </si>
  <si>
    <t xml:space="preserve">PESO LIQ </t>
  </si>
  <si>
    <t>VALOR DA MERCADORIA</t>
  </si>
  <si>
    <t>IMPOSTOS DE NACIONALIZAÇÃO</t>
  </si>
  <si>
    <t>OUTRAS DESPESAS</t>
  </si>
  <si>
    <t>UNIDADE</t>
  </si>
  <si>
    <t>FOB UNIT.</t>
  </si>
  <si>
    <t>FOB TOTAL</t>
  </si>
  <si>
    <t>ADICIONAL (THC...)</t>
  </si>
  <si>
    <t>FRETE INT'L</t>
  </si>
  <si>
    <t>SEGURO</t>
  </si>
  <si>
    <t>VMLD USD</t>
  </si>
  <si>
    <t>ALIQUOTA II</t>
  </si>
  <si>
    <t>VALOR II</t>
  </si>
  <si>
    <t>ALIQUOTA IPI</t>
  </si>
  <si>
    <t>VALOR IPI</t>
  </si>
  <si>
    <t>ALIQUOTA PIS</t>
  </si>
  <si>
    <t>VALOR PIS</t>
  </si>
  <si>
    <t>ALIQUOTA COFINS</t>
  </si>
  <si>
    <t>VALOR COFINS</t>
  </si>
  <si>
    <t>BASE DE CALCULO ICMS</t>
  </si>
  <si>
    <t>ALIQUOTA ICMS</t>
  </si>
  <si>
    <t>VALOR ICMS</t>
  </si>
  <si>
    <t>ANTIDUMPING</t>
  </si>
  <si>
    <t>USD</t>
  </si>
  <si>
    <t>R$</t>
  </si>
  <si>
    <t>PC-FS1-01</t>
  </si>
  <si>
    <t>CARTUCHO PARA EMBALAGEM DO NYLON 12 , EM PLÁSTICO, PARA A IMPRESSORA 3D FUSE , MARCA: FORMLABS</t>
  </si>
  <si>
    <t>39269090</t>
  </si>
  <si>
    <t>UN</t>
  </si>
  <si>
    <t>FDK-WKSPCE- TL-01</t>
  </si>
  <si>
    <t>KIT DE FERRAMENTAS PARA DESEMPACOTAMENTO DE LOTES IMPRESSOS NA IMPRESSORA 3D FORMLABS FUSE 1</t>
  </si>
  <si>
    <t>82060000</t>
  </si>
  <si>
    <t>FS1-SIFT-120V</t>
  </si>
  <si>
    <t>ESTAÇÕES COM FERRAMENTAS DE PRECISÃO DESTINADAS AO PÓS PROCESSAMENTO DE PEÇAS FABRICADAS POR MANUFATURA ADITIVA ATRAVÉS DE TECNOLOGIA DE SINTERIZAÇÃO SELETIVA A LASER (SLS), PERMITINDO A LIMPEZA DAS PEÇAS E A RECICLAGEM DO PÓ USADO, COM DIMENSÕES DA CÂMARA DE IMPRESSÃO DE 27,9 X 34,2 X 48,9CM (LARGURA X PROFUNDIDADE X ALTURA), CAPACIDADE DE REPOSITÓRIO PARA PÓ FRESCO DE 10,7KG, CAPACIDADE DE REPOSITÓRIO PARA PÓ USADO DE 9,8KG, CONTROLE DO PÓ COM FILTRO HEPA, COM CAPOTA PRESSURIZADA NEGATIVAMENTE, CONEXÃO PARA ASPIRADOR DE PÓ, CONECTIVIDADE DE "WI-FI" E "ETHERNET", PAINEL DE CONTROLE COM VISOR DIGITAL DE TOQUE QUE SERVE COMO INTERFACE DO USUÁRIO COM O EQUIPAMENTO E EXIBE INFORMAÇÕES DE SISTEMA, CONFIGURAÇÕES, STATUS DA PENEIRA E DA CÂMARA DE IMPRESSÃO, ALÉM DOS NÍVEIS DE PÓ FRESCO E USADO. MODELO FUSE SIFT 120V, NUMERO DE SERIE: EBONYORIOLE</t>
  </si>
  <si>
    <t>84775990</t>
  </si>
  <si>
    <t>PKG-WS-FS1-P-30-120V</t>
  </si>
  <si>
    <t>EQUIPAMENTOS DE MANUFATURA ADITIVA COM TECNOLOGIA DE SINTERIZAÇÃO SELETIVA A LASER (SLS), ATRAVÉS DO AQUECIMENTO DE TERMOPLÁSTICOS EM PÓ, COM VOLUME DE IMPRESSÃO DE 165X 165X 300MM (L X P X A), TAMANHO DO PONTO DE LASER (FWHM) DE 200 MÍCRON, TRANSFERÊNCIA DO MODELO VIRTUAL PARA O EQUIPAMENTO ATRAVÉS DE CONECTIVIDADE "WI-FI" E "ETHERNET", PAINEL DE CONTROLE COM VISOR DIGITAL DE TOQUE, "INTERFACE" DO USUÁRIO COM A IMPRESSORA 3D SLS E INFORMAÇÕES DE SISTEMA, ACESSO ÀS CONFIGURAÇÕES DO SISTEMA, ACESSO À CÂMARA INTERNA E VISUALIZAÇÃO EM TEMPO REAL DO PROGRESSO DO TRABALHO DE IMPRESSÃO. MODELO FUSE 1+ PRINTER 120V, NUMERO DE SERIE: ORDERLYHADDOCK</t>
  </si>
  <si>
    <t>BC-FS1-120V-01</t>
  </si>
  <si>
    <t>PARTES E PEÇAS DE EQUIPAMENTO PARA TRABALHAR PLÁSTICO COM TECNOLOGIA DE SINTERIZAÇÃO SELETIVA A LASER (SLS), ATRAVÉS DO AQUECIMENTO DE TERMOPLÁSTICOS EM PÓ, SENDO: CÂMARA DE IMPRESSÃO PARA IMPRESSORAS 3D FORMLABS DA SÉRIE FUSE 1+, MARCA : FORMLABS, MODELO: FUSE SERIES BUILD CHAMBER 120V</t>
  </si>
  <si>
    <t>84779000</t>
  </si>
  <si>
    <t>FS1-STAND</t>
  </si>
  <si>
    <t>PARTES E PEÇAS DE EQUIPAMENTO PARA TRABALHAR PLÁSTICO COM TECNOLOGIA DE SINTERIZAÇÃO SELETIVA A LASER (SLS), ATRAVÉS DO AQUECIMENTO DE TERMOPLÁSTICOS EM PÓ, SENDO: BASE PARA IMPRESSORA PARA IMPRESSORAS 3D FORMLABS DA SÉRIE FUSE 1+ 120V</t>
  </si>
  <si>
    <t>F3L-Printer</t>
  </si>
  <si>
    <t>IMPRESSORA 3D A LASER PARA A PRODUÇÃO DE MODELOS TRIDIMENSIONAIS FÍSICOS (PROTOTIPAGEM RÁPIDA) A PARTIR DE MODELOS VIRTUAIS, ATRAVÉS DA TECNOLOGIA DE UMA FORMA AVANÇADA DE ESTEREOLITOGRAFIA, UTILIZANDO RESINA LÍQUIDA FOTOPOLIMERIZÁVEL, COM USO DE DOIS LASERS  COM DIODO VIOLETA, COMPRIMENTO DE ONDA DE 405NM, POTÊNCIA DE 250MW, RESOLUÇÃO DE ATÉ 25 MÍCRONS DE PRECISÃO DE ALTURA DE CAMADA, E PONTO FOCAL DE 85 MÍCRONS, DOTADAS DE DOIS CARTUCHOS DE RESINA LÍQUIDA, VOLUME DE IMPRESSÃO DE 335 X 200 X 300MM, CÂMARA DE  IMPRESSÃO COM AQUECIMENTO POR AR, PROCESSAMENTO ATRAVÉS DE CONECTIVIDADE WI-FI E  ETHERNET. MARCA FORMLABS, MODELO: FORM F3L, NR DE SERIE: ECCENTRICMUNIA</t>
  </si>
  <si>
    <t>84852000</t>
  </si>
  <si>
    <t>CT-F3L-01</t>
  </si>
  <si>
    <t>OUTRAS MÁQUINAS PARA FABRICAÇÃO ADITIVA, SENDO: ESTAÇÃO DE CURA FORM CURE L, MARCA : FORMLABS, REF : FHL-CU-120V-01. MODELO: FORM CURE L</t>
  </si>
  <si>
    <t>84858000</t>
  </si>
  <si>
    <t>FHL-WA-01</t>
  </si>
  <si>
    <t>OUTRAS MÁQUINAS PARA FABRICAÇÃO ADITIVA, SENDO: ESTAÇÃO DE LIMPEZA FORM WASH L, MARCA: FORMLABS</t>
  </si>
  <si>
    <t>FHL-CU-120V-01</t>
  </si>
  <si>
    <t>ESTAÇÃO DE CURA FORM CURE L 120V - FHL-CU-120V-01-B8</t>
  </si>
  <si>
    <t>BP-F3L-01</t>
  </si>
  <si>
    <t>PARTES E PEÇAS PARA MÁQUINAS DE MANUFATURA ADITIVA , SENDO: PLATAFORMA DE IMPRESSÃO PARA REMOÇÃO DE PEÇA IMPRESSA DA IMPRESSORA 3D FORM 3L DE ESTEREOLITOGRAFIA</t>
  </si>
  <si>
    <t>84859000</t>
  </si>
  <si>
    <t>RT-F3L-03</t>
  </si>
  <si>
    <t>PARTES E PEÇAS PARA MÁQUINAS DE MANUFATURA ADITIVA , SENDO: TANQUE DE RESINA  APTO PARA IMPRESSÃO EM TODAS AS RESINAS COMPATÍVEIS COM AS IMPRESSORAS 3D FORMLABS DA SÉRIE FORM 3L.MARCA FORMLABS</t>
  </si>
  <si>
    <t>VC-FS-110V-01</t>
  </si>
  <si>
    <t>ASPIRADOR, DE CHÃO, COM MOTOR ELÉTRICO INCORPORADO, TENSÃO 110V, PARA USO INDUSTRIAL</t>
  </si>
  <si>
    <t>85081900</t>
  </si>
  <si>
    <t>FDK- SIFTER-120V-01</t>
  </si>
  <si>
    <t>KIT PARA PENEIRAÇÃO DE PÓ DO DESEMPACOTAMENTO MANUAL DE LOTES IMPRESSOS NA IMPRESSORA 3D FORMLABS FUSE 1.</t>
  </si>
  <si>
    <t>96040000</t>
  </si>
  <si>
    <t>COLAR ESPELHO NF SISTEMA</t>
  </si>
  <si>
    <t>VARIAÇÃO CAMBIAL FRETE INTERNACIONAL + SEGURO</t>
  </si>
  <si>
    <t>VARIAÇÃO CAMBIAL MERCADORIA</t>
  </si>
  <si>
    <t>DEMAIS DESPESAS DE DESTINO</t>
  </si>
  <si>
    <t>DESEMBOLSO FINAL</t>
  </si>
  <si>
    <t>DESPESAS NO DESTINO</t>
  </si>
  <si>
    <t>INSERIR FÓRMULA DE SOMA NA COLUNA VALOR CIF (P) NA ÚLTIMA LINHA 113</t>
  </si>
  <si>
    <t>2. Total de despesas</t>
  </si>
  <si>
    <t>RESUMO</t>
  </si>
  <si>
    <t>Total estimado em Mercadoria</t>
  </si>
  <si>
    <t>Total estimado em Frete + despesas</t>
  </si>
  <si>
    <t>Total estimado em impostos</t>
  </si>
  <si>
    <t xml:space="preserve">Desembolso Total estimado </t>
  </si>
  <si>
    <t>1. Total de impostos</t>
  </si>
  <si>
    <t>-</t>
  </si>
  <si>
    <t>Despesas Zona Secundária - Conexão Marítima</t>
  </si>
  <si>
    <t>Assessoria e Desembaraço Aduaneiro</t>
  </si>
  <si>
    <t>COLUNA FOB TOTAL DEVE SER A MULTIPLICAÇÃO DA COLUNA E * I (QUANTIDADE X UNITÁRIO)</t>
  </si>
  <si>
    <t>MILENE</t>
  </si>
  <si>
    <t>1x40HC</t>
  </si>
  <si>
    <t>Despesas Zona Primária - Portonave</t>
  </si>
  <si>
    <t>TTD 410 CLIENTE</t>
  </si>
  <si>
    <t xml:space="preserve">VALOR UNITÁRIO </t>
  </si>
  <si>
    <t xml:space="preserve">VALOR TOTAL </t>
  </si>
  <si>
    <t xml:space="preserve">Alíq ICMS </t>
  </si>
  <si>
    <t>taxa 1</t>
  </si>
  <si>
    <t>taxa 2</t>
  </si>
  <si>
    <t>taxa 3</t>
  </si>
  <si>
    <t>taxa 4</t>
  </si>
  <si>
    <t>taxa 5</t>
  </si>
  <si>
    <t>taxa 6</t>
  </si>
  <si>
    <t>DTA</t>
  </si>
  <si>
    <t xml:space="preserve">*Preencher de acordo com a proposta recebida pelo agente de cargas, conforme as moedas da cotação. </t>
  </si>
  <si>
    <t>PRODUTO 1</t>
  </si>
  <si>
    <t>BC ICMS</t>
  </si>
  <si>
    <t>despesas origem</t>
  </si>
  <si>
    <t>Mercadoria</t>
  </si>
  <si>
    <t>MERCADORIA, FRETE E DESPESAS</t>
  </si>
  <si>
    <t xml:space="preserve">CRÉDITO COFINS LIMITADO </t>
  </si>
  <si>
    <t>Custo final Lucro presumido</t>
  </si>
  <si>
    <t>Custo final Lucro Real</t>
  </si>
  <si>
    <t>Custo final simples nacional</t>
  </si>
  <si>
    <t xml:space="preserve">OBSERVAÇÃO: Os créditos de impostos, serão apropriados de acordo com o regime tributário e finalidade de importação de cada empresa. Caso a finalidade da Importação seja Ativo imobilizado, ou amostras, verificar possibilidade de créditos com sua contabilidade! </t>
  </si>
  <si>
    <t>ORIGEM TAXA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</si>
</sst>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R$&quot;\ * #,##0.00_-;\-&quot;R$&quot;\ * #,##0.00_-;_-&quot;R$&quot;\ * &quot;-&quot;??_-;_-@_-"/>
    <numFmt numFmtId="43" formatCode="_-* #,##0.00_-;\-* #,##0.00_-;_-* &quot;-&quot;??_-;_-@_-"/>
    <numFmt numFmtId="164" formatCode="_-[$$-409]* #,##0.00_ ;_-[$$-409]* \-#,##0.00\ ;_-[$$-409]* &quot;-&quot;??_ ;_-@_ "/>
    <numFmt numFmtId="165" formatCode="_-[$€-2]\ * #,##0.00_-;\-[$€-2]\ * #,##0.00_-;_-[$€-2]\ * &quot;-&quot;??_-;_-@_-"/>
    <numFmt numFmtId="166" formatCode="_-[$R$-416]\ * #,##0.00_-;\-[$R$-416]\ * #,##0.00_-;_-[$R$-416]\ * &quot;-&quot;??_-;_-@_-"/>
    <numFmt numFmtId="167" formatCode="_-&quot;R$&quot;\ * #,##0.0000_-;\-&quot;R$&quot;\ * #,##0.0000_-;_-&quot;R$&quot;\ * &quot;-&quot;??_-;_-@_-"/>
    <numFmt numFmtId="168" formatCode="_-&quot;R$&quot;\ * #,##0.0000_-;\-&quot;R$&quot;\ * #,##0.0000_-;_-&quot;R$&quot;\ * &quot;-&quot;????_-;_-@_-"/>
    <numFmt numFmtId="169" formatCode="_-* #,##0.000_-;\-* #,##0.000_-;_-* &quot;-&quot;??_-;_-@_-"/>
    <numFmt numFmtId="170" formatCode="[$-F800]dddd\,\ mmmm\ dd\,\ yyyy"/>
    <numFmt numFmtId="171" formatCode="0.0%"/>
    <numFmt numFmtId="172" formatCode="0.0000"/>
    <numFmt numFmtId="173" formatCode="&quot;R$&quot;\ #,##0.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mbria"/>
      <family val="1"/>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1"/>
      <name val="Calibri"/>
      <family val="2"/>
      <scheme val="minor"/>
    </font>
    <font>
      <sz val="12"/>
      <color theme="1"/>
      <name val="Calibri"/>
      <family val="2"/>
      <scheme val="minor"/>
    </font>
    <font>
      <b/>
      <sz val="12"/>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i/>
      <sz val="10"/>
      <color theme="0"/>
      <name val="Calibri"/>
      <family val="2"/>
      <scheme val="minor"/>
    </font>
    <font>
      <b/>
      <sz val="10"/>
      <color theme="0"/>
      <name val="Calibri"/>
      <family val="2"/>
      <scheme val="minor"/>
    </font>
    <font>
      <b/>
      <u/>
      <sz val="10"/>
      <color theme="0"/>
      <name val="Calibri"/>
      <family val="2"/>
      <scheme val="minor"/>
    </font>
    <font>
      <b/>
      <sz val="10"/>
      <name val="Calibri"/>
      <family val="2"/>
      <scheme val="minor"/>
    </font>
    <font>
      <b/>
      <i/>
      <u/>
      <sz val="11"/>
      <name val="Calibri"/>
      <family val="2"/>
      <scheme val="minor"/>
    </font>
    <font>
      <sz val="8"/>
      <color rgb="FF333333"/>
      <name val="Trebuchet MS"/>
      <family val="2"/>
    </font>
    <font>
      <sz val="8"/>
      <name val="Calibri"/>
      <family val="2"/>
      <scheme val="minor"/>
    </font>
    <font>
      <sz val="10"/>
      <color theme="0"/>
      <name val="Calibri"/>
      <family val="2"/>
      <scheme val="minor"/>
    </font>
    <font>
      <sz val="12"/>
      <name val="Calibri"/>
      <family val="2"/>
      <scheme val="minor"/>
    </font>
    <font>
      <i/>
      <sz val="12"/>
      <name val="Calibri"/>
      <family val="2"/>
      <scheme val="minor"/>
    </font>
    <font>
      <sz val="8"/>
      <color theme="1"/>
      <name val="Calibri"/>
      <family val="2"/>
      <scheme val="minor"/>
    </font>
    <font>
      <sz val="12"/>
      <color theme="0"/>
      <name val="Cambria"/>
      <family val="1"/>
    </font>
    <font>
      <sz val="11"/>
      <color theme="1"/>
      <name val="Calibri"/>
      <family val="2"/>
      <scheme val="minor"/>
    </font>
    <font>
      <sz val="10"/>
      <name val="Arial"/>
      <family val="2"/>
    </font>
    <font>
      <b/>
      <sz val="10"/>
      <name val="Tahoma"/>
      <family val="2"/>
    </font>
    <font>
      <sz val="11"/>
      <color rgb="FF000000"/>
      <name val="Calibri"/>
      <family val="2"/>
      <scheme val="minor"/>
    </font>
    <font>
      <b/>
      <sz val="11"/>
      <color rgb="FF000000"/>
      <name val="Calibri"/>
      <family val="2"/>
      <scheme val="minor"/>
    </font>
    <font>
      <b/>
      <u val="singleAccounting"/>
      <sz val="11"/>
      <color theme="1"/>
      <name val="Calibri"/>
      <family val="2"/>
      <scheme val="minor"/>
    </font>
    <font>
      <u/>
      <sz val="11"/>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41A7D4"/>
        <bgColor indexed="64"/>
      </patternFill>
    </fill>
    <fill>
      <patternFill patternType="solid">
        <fgColor rgb="FF4A4B4D"/>
        <bgColor indexed="64"/>
      </patternFill>
    </fill>
    <fill>
      <patternFill patternType="solid">
        <fgColor theme="0" tint="-0.14999847407452621"/>
        <bgColor indexed="64"/>
      </patternFill>
    </fill>
    <fill>
      <patternFill patternType="gray125">
        <bgColor theme="0"/>
      </patternFill>
    </fill>
    <fill>
      <patternFill patternType="solid">
        <fgColor theme="3" tint="0.79998168889431442"/>
        <bgColor indexed="64"/>
      </patternFill>
    </fill>
    <fill>
      <patternFill patternType="solid">
        <fgColor rgb="FF15C2FF"/>
        <bgColor indexed="64"/>
      </patternFill>
    </fill>
    <fill>
      <patternFill patternType="solid">
        <fgColor rgb="FF0CA4D3"/>
        <bgColor indexed="64"/>
      </patternFill>
    </fill>
    <fill>
      <patternFill patternType="solid">
        <fgColor rgb="FFC2E8F4"/>
        <bgColor indexed="64"/>
      </patternFill>
    </fill>
    <fill>
      <patternFill patternType="solid">
        <fgColor rgb="FFFFFF00"/>
        <bgColor indexed="64"/>
      </patternFill>
    </fill>
    <fill>
      <patternFill patternType="solid">
        <fgColor rgb="FF9FDAED"/>
        <bgColor indexed="64"/>
      </patternFill>
    </fill>
    <fill>
      <patternFill patternType="solid">
        <fgColor theme="2"/>
        <bgColor indexed="64"/>
      </patternFill>
    </fill>
    <fill>
      <patternFill patternType="solid">
        <fgColor theme="6" tint="0.79998168889431442"/>
        <bgColor indexed="64"/>
      </patternFill>
    </fill>
    <fill>
      <patternFill patternType="solid">
        <fgColor rgb="FFDBEEF4"/>
        <bgColor indexed="26"/>
      </patternFill>
    </fill>
    <fill>
      <patternFill patternType="solid">
        <fgColor rgb="FFFDEADA"/>
        <bgColor indexed="26"/>
      </patternFill>
    </fill>
    <fill>
      <patternFill patternType="solid">
        <fgColor rgb="FFEBF1DE"/>
        <bgColor indexed="9"/>
      </patternFill>
    </fill>
    <fill>
      <patternFill patternType="solid">
        <fgColor rgb="FF9FDAED"/>
        <bgColor indexed="9"/>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7" fillId="0" borderId="0"/>
    <xf numFmtId="0" fontId="29" fillId="0" borderId="0"/>
  </cellStyleXfs>
  <cellXfs count="376">
    <xf numFmtId="0" fontId="0" fillId="0" borderId="0" xfId="0"/>
    <xf numFmtId="0" fontId="3" fillId="2" borderId="0" xfId="0" applyFont="1" applyFill="1" applyProtection="1">
      <protection locked="0"/>
    </xf>
    <xf numFmtId="0" fontId="2" fillId="3" borderId="7" xfId="0" applyFont="1" applyFill="1" applyBorder="1"/>
    <xf numFmtId="44" fontId="2" fillId="3" borderId="8" xfId="2" applyFont="1" applyFill="1" applyBorder="1"/>
    <xf numFmtId="0" fontId="6" fillId="0" borderId="0" xfId="0" applyFont="1"/>
    <xf numFmtId="0" fontId="6" fillId="0" borderId="4" xfId="0" applyFont="1" applyBorder="1" applyAlignment="1">
      <alignment horizontal="center"/>
    </xf>
    <xf numFmtId="0" fontId="6" fillId="0" borderId="9" xfId="0" applyFont="1" applyBorder="1" applyAlignment="1">
      <alignment horizontal="center"/>
    </xf>
    <xf numFmtId="0" fontId="6" fillId="0" borderId="10" xfId="0" applyFont="1" applyBorder="1"/>
    <xf numFmtId="44" fontId="6" fillId="0" borderId="1" xfId="2" applyFont="1" applyBorder="1"/>
    <xf numFmtId="0" fontId="6" fillId="0" borderId="2" xfId="0" applyFont="1" applyBorder="1"/>
    <xf numFmtId="44" fontId="6" fillId="0" borderId="12" xfId="2" applyFont="1" applyBorder="1"/>
    <xf numFmtId="0" fontId="6" fillId="2" borderId="0" xfId="0" applyFont="1" applyFill="1"/>
    <xf numFmtId="0" fontId="6" fillId="2" borderId="0" xfId="0" applyFont="1" applyFill="1" applyAlignment="1">
      <alignment horizontal="center"/>
    </xf>
    <xf numFmtId="0" fontId="7" fillId="2" borderId="0" xfId="0" applyFont="1" applyFill="1"/>
    <xf numFmtId="0" fontId="18" fillId="2" borderId="0" xfId="0" applyFont="1" applyFill="1" applyAlignment="1">
      <alignment horizontal="left"/>
    </xf>
    <xf numFmtId="0" fontId="18" fillId="2" borderId="0" xfId="0" applyFont="1" applyFill="1"/>
    <xf numFmtId="0" fontId="7" fillId="2" borderId="0" xfId="0" applyFont="1" applyFill="1" applyAlignment="1">
      <alignment horizontal="center"/>
    </xf>
    <xf numFmtId="0" fontId="6" fillId="2" borderId="0" xfId="0" applyFont="1" applyFill="1" applyProtection="1">
      <protection locked="0"/>
    </xf>
    <xf numFmtId="167" fontId="4" fillId="5" borderId="1" xfId="2" applyNumberFormat="1" applyFont="1" applyFill="1" applyBorder="1" applyProtection="1">
      <protection locked="0"/>
    </xf>
    <xf numFmtId="1" fontId="6" fillId="2" borderId="5"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10" fontId="6" fillId="2" borderId="5" xfId="3" applyNumberFormat="1" applyFont="1" applyFill="1" applyBorder="1" applyAlignment="1" applyProtection="1">
      <alignment horizontal="center" vertical="center"/>
      <protection locked="0"/>
    </xf>
    <xf numFmtId="0" fontId="7" fillId="2" borderId="5" xfId="0" applyFont="1" applyFill="1" applyBorder="1" applyProtection="1">
      <protection locked="0"/>
    </xf>
    <xf numFmtId="1" fontId="7" fillId="2" borderId="5" xfId="0" applyNumberFormat="1" applyFont="1" applyFill="1" applyBorder="1" applyAlignment="1" applyProtection="1">
      <alignment horizontal="center" vertical="center"/>
      <protection locked="0"/>
    </xf>
    <xf numFmtId="0" fontId="6" fillId="7" borderId="5" xfId="0" applyFont="1" applyFill="1" applyBorder="1" applyProtection="1">
      <protection locked="0"/>
    </xf>
    <xf numFmtId="0" fontId="0" fillId="0" borderId="0" xfId="0" applyProtection="1">
      <protection locked="0"/>
    </xf>
    <xf numFmtId="167" fontId="4" fillId="2" borderId="0" xfId="2" applyNumberFormat="1" applyFont="1" applyFill="1" applyBorder="1" applyProtection="1">
      <protection locked="0"/>
    </xf>
    <xf numFmtId="9" fontId="0" fillId="0" borderId="0" xfId="3" applyFont="1"/>
    <xf numFmtId="0" fontId="4" fillId="5" borderId="5" xfId="0" applyFont="1" applyFill="1" applyBorder="1" applyAlignment="1">
      <alignment horizontal="center" vertical="center" wrapText="1"/>
    </xf>
    <xf numFmtId="0" fontId="6" fillId="2" borderId="0" xfId="0" applyFont="1" applyFill="1" applyAlignment="1">
      <alignment wrapText="1"/>
    </xf>
    <xf numFmtId="0" fontId="7" fillId="2" borderId="1" xfId="0" applyFont="1" applyFill="1" applyBorder="1"/>
    <xf numFmtId="0" fontId="6" fillId="2" borderId="3" xfId="0" applyFont="1" applyFill="1" applyBorder="1" applyProtection="1">
      <protection locked="0"/>
    </xf>
    <xf numFmtId="4" fontId="6" fillId="2" borderId="3" xfId="0" applyNumberFormat="1" applyFont="1" applyFill="1" applyBorder="1" applyProtection="1">
      <protection locked="0"/>
    </xf>
    <xf numFmtId="43" fontId="7" fillId="2" borderId="5" xfId="0" applyNumberFormat="1" applyFont="1" applyFill="1" applyBorder="1" applyAlignment="1" applyProtection="1">
      <alignment horizontal="center" vertical="center"/>
      <protection locked="0"/>
    </xf>
    <xf numFmtId="2" fontId="6" fillId="2" borderId="5" xfId="0" applyNumberFormat="1" applyFont="1" applyFill="1" applyBorder="1" applyAlignment="1" applyProtection="1">
      <alignment horizontal="center" vertical="center"/>
      <protection locked="0"/>
    </xf>
    <xf numFmtId="0" fontId="5" fillId="2" borderId="0" xfId="0" applyFont="1" applyFill="1"/>
    <xf numFmtId="0" fontId="7" fillId="9" borderId="1" xfId="0" applyFont="1" applyFill="1" applyBorder="1" applyAlignment="1" applyProtection="1">
      <alignment horizontal="center"/>
      <protection locked="0"/>
    </xf>
    <xf numFmtId="0" fontId="7" fillId="9" borderId="1" xfId="0" applyFont="1" applyFill="1" applyBorder="1" applyAlignment="1" applyProtection="1">
      <alignment horizontal="center" vertical="center"/>
      <protection locked="0"/>
    </xf>
    <xf numFmtId="14" fontId="7" fillId="9" borderId="1" xfId="0" applyNumberFormat="1" applyFont="1" applyFill="1" applyBorder="1" applyAlignment="1" applyProtection="1">
      <alignment horizontal="center" vertical="center"/>
      <protection locked="0"/>
    </xf>
    <xf numFmtId="168" fontId="5" fillId="2" borderId="0" xfId="0" applyNumberFormat="1" applyFont="1" applyFill="1" applyProtection="1">
      <protection locked="0"/>
    </xf>
    <xf numFmtId="0" fontId="0" fillId="0" borderId="1" xfId="0" applyBorder="1" applyProtection="1">
      <protection locked="0"/>
    </xf>
    <xf numFmtId="0" fontId="19" fillId="2" borderId="0" xfId="0" applyFont="1" applyFill="1" applyAlignment="1">
      <alignment horizontal="center" vertical="top" wrapText="1"/>
    </xf>
    <xf numFmtId="9" fontId="0" fillId="2" borderId="0" xfId="0" applyNumberFormat="1" applyFill="1"/>
    <xf numFmtId="171" fontId="0" fillId="2" borderId="0" xfId="0" applyNumberFormat="1" applyFill="1"/>
    <xf numFmtId="0" fontId="0" fillId="2" borderId="0" xfId="0" applyFill="1"/>
    <xf numFmtId="9" fontId="0" fillId="0" borderId="0" xfId="0" applyNumberFormat="1"/>
    <xf numFmtId="0" fontId="0" fillId="2" borderId="27" xfId="0" applyFill="1" applyBorder="1"/>
    <xf numFmtId="9" fontId="0" fillId="2" borderId="27" xfId="0" applyNumberFormat="1" applyFill="1" applyBorder="1"/>
    <xf numFmtId="9" fontId="0" fillId="0" borderId="1" xfId="3" applyFont="1" applyBorder="1"/>
    <xf numFmtId="0" fontId="0" fillId="2" borderId="1" xfId="0" applyFill="1" applyBorder="1"/>
    <xf numFmtId="9" fontId="0" fillId="2" borderId="1" xfId="0" applyNumberFormat="1" applyFill="1" applyBorder="1"/>
    <xf numFmtId="171" fontId="0" fillId="2" borderId="1" xfId="0" applyNumberFormat="1" applyFill="1" applyBorder="1"/>
    <xf numFmtId="171" fontId="0" fillId="0" borderId="1" xfId="3" applyNumberFormat="1" applyFont="1" applyBorder="1"/>
    <xf numFmtId="49" fontId="6" fillId="2" borderId="5" xfId="0" applyNumberFormat="1" applyFont="1" applyFill="1" applyBorder="1" applyProtection="1">
      <protection locked="0"/>
    </xf>
    <xf numFmtId="0" fontId="4" fillId="5" borderId="6" xfId="0" applyFont="1" applyFill="1" applyBorder="1" applyAlignment="1">
      <alignment vertical="center" wrapText="1"/>
    </xf>
    <xf numFmtId="0" fontId="6" fillId="7" borderId="6" xfId="0" applyFont="1" applyFill="1" applyBorder="1" applyProtection="1">
      <protection locked="0"/>
    </xf>
    <xf numFmtId="0" fontId="6" fillId="6" borderId="5" xfId="0" applyFont="1" applyFill="1" applyBorder="1" applyAlignment="1" applyProtection="1">
      <alignment horizontal="center"/>
      <protection locked="0"/>
    </xf>
    <xf numFmtId="44" fontId="0" fillId="0" borderId="0" xfId="0" applyNumberFormat="1"/>
    <xf numFmtId="0" fontId="6" fillId="2" borderId="0" xfId="0" applyFont="1" applyFill="1" applyAlignment="1" applyProtection="1">
      <alignment horizontal="center"/>
      <protection locked="0"/>
    </xf>
    <xf numFmtId="0" fontId="4" fillId="5" borderId="5" xfId="0" applyFont="1" applyFill="1" applyBorder="1" applyAlignment="1" applyProtection="1">
      <alignment horizontal="center" vertical="center" wrapText="1"/>
      <protection locked="0"/>
    </xf>
    <xf numFmtId="0" fontId="5" fillId="2" borderId="0" xfId="0" applyFont="1" applyFill="1" applyProtection="1">
      <protection locked="0"/>
    </xf>
    <xf numFmtId="0" fontId="0" fillId="0" borderId="8" xfId="0" applyBorder="1" applyAlignment="1">
      <alignment horizontal="center" vertical="center"/>
    </xf>
    <xf numFmtId="166" fontId="0" fillId="0" borderId="7" xfId="0" applyNumberFormat="1" applyBorder="1" applyAlignment="1">
      <alignment horizontal="center" vertical="center"/>
    </xf>
    <xf numFmtId="166" fontId="0" fillId="0" borderId="1" xfId="0" applyNumberFormat="1" applyBorder="1"/>
    <xf numFmtId="0" fontId="6" fillId="0" borderId="1" xfId="0" applyFont="1" applyBorder="1"/>
    <xf numFmtId="166" fontId="0" fillId="0" borderId="1" xfId="0" quotePrefix="1" applyNumberFormat="1" applyBorder="1"/>
    <xf numFmtId="0" fontId="6" fillId="0" borderId="9" xfId="0" applyFont="1" applyBorder="1"/>
    <xf numFmtId="166" fontId="0" fillId="0" borderId="9" xfId="0" applyNumberFormat="1" applyBorder="1"/>
    <xf numFmtId="0" fontId="6" fillId="13" borderId="36" xfId="0" applyFont="1" applyFill="1" applyBorder="1"/>
    <xf numFmtId="166" fontId="0" fillId="13" borderId="7" xfId="0" applyNumberFormat="1" applyFill="1" applyBorder="1"/>
    <xf numFmtId="0" fontId="0" fillId="13" borderId="36" xfId="0" applyFill="1" applyBorder="1" applyAlignment="1">
      <alignment horizontal="center" vertical="center"/>
    </xf>
    <xf numFmtId="44" fontId="0" fillId="0" borderId="43" xfId="2" applyFont="1" applyBorder="1"/>
    <xf numFmtId="0" fontId="0" fillId="0" borderId="46" xfId="0" applyBorder="1" applyAlignment="1">
      <alignment horizontal="center" vertical="center"/>
    </xf>
    <xf numFmtId="166" fontId="0" fillId="0" borderId="43" xfId="0" applyNumberFormat="1" applyBorder="1" applyAlignment="1">
      <alignment horizontal="center" vertical="center"/>
    </xf>
    <xf numFmtId="0" fontId="0" fillId="0" borderId="42" xfId="0" applyBorder="1" applyAlignment="1">
      <alignment horizontal="center" vertical="center"/>
    </xf>
    <xf numFmtId="166" fontId="0" fillId="0" borderId="47" xfId="0" applyNumberFormat="1" applyBorder="1" applyAlignment="1">
      <alignment horizontal="center" vertical="center"/>
    </xf>
    <xf numFmtId="0" fontId="0" fillId="0" borderId="48" xfId="0" applyBorder="1" applyAlignment="1">
      <alignment horizontal="center" vertical="center"/>
    </xf>
    <xf numFmtId="0" fontId="6" fillId="0" borderId="1" xfId="0" quotePrefix="1" applyFont="1" applyBorder="1"/>
    <xf numFmtId="0" fontId="6" fillId="0" borderId="12" xfId="0" applyFont="1" applyBorder="1" applyAlignment="1">
      <alignment wrapText="1"/>
    </xf>
    <xf numFmtId="166" fontId="0" fillId="13" borderId="33" xfId="0" applyNumberFormat="1" applyFill="1" applyBorder="1"/>
    <xf numFmtId="0" fontId="6" fillId="0" borderId="1" xfId="0" applyFont="1" applyBorder="1" applyAlignment="1">
      <alignment wrapText="1"/>
    </xf>
    <xf numFmtId="166" fontId="0" fillId="13" borderId="41" xfId="0" applyNumberFormat="1" applyFill="1" applyBorder="1"/>
    <xf numFmtId="0" fontId="0" fillId="13" borderId="40" xfId="0" applyFill="1" applyBorder="1" applyAlignment="1">
      <alignment horizontal="center" vertical="center"/>
    </xf>
    <xf numFmtId="44" fontId="0" fillId="13" borderId="41" xfId="0" applyNumberFormat="1" applyFill="1" applyBorder="1"/>
    <xf numFmtId="0" fontId="0" fillId="0" borderId="38" xfId="0" applyBorder="1" applyAlignment="1">
      <alignment vertical="center"/>
    </xf>
    <xf numFmtId="0" fontId="0" fillId="0" borderId="43" xfId="0" applyBorder="1" applyAlignment="1">
      <alignment horizontal="center" vertical="center"/>
    </xf>
    <xf numFmtId="0" fontId="0" fillId="13" borderId="43" xfId="0" applyFill="1" applyBorder="1" applyAlignment="1">
      <alignment horizontal="center" vertical="center"/>
    </xf>
    <xf numFmtId="0" fontId="0" fillId="13" borderId="42" xfId="0" applyFill="1" applyBorder="1" applyAlignment="1">
      <alignment horizontal="center" vertical="center"/>
    </xf>
    <xf numFmtId="44" fontId="0" fillId="13" borderId="42" xfId="2" applyFont="1" applyFill="1" applyBorder="1" applyAlignment="1">
      <alignment horizontal="center" vertical="center"/>
    </xf>
    <xf numFmtId="0" fontId="0" fillId="13" borderId="41" xfId="0" applyFill="1" applyBorder="1" applyAlignment="1">
      <alignment horizontal="center" vertical="center"/>
    </xf>
    <xf numFmtId="0" fontId="0" fillId="13" borderId="40" xfId="0" applyFill="1" applyBorder="1" applyAlignment="1">
      <alignment horizontal="center"/>
    </xf>
    <xf numFmtId="0" fontId="6" fillId="2" borderId="46" xfId="0" quotePrefix="1" applyFont="1" applyFill="1" applyBorder="1"/>
    <xf numFmtId="44" fontId="6" fillId="2" borderId="43" xfId="2" applyFont="1" applyFill="1" applyBorder="1"/>
    <xf numFmtId="0" fontId="6" fillId="2" borderId="42" xfId="0" applyFont="1" applyFill="1" applyBorder="1"/>
    <xf numFmtId="44" fontId="6" fillId="2" borderId="47" xfId="2" applyFont="1" applyFill="1" applyBorder="1"/>
    <xf numFmtId="0" fontId="6" fillId="2" borderId="48" xfId="0" applyFont="1" applyFill="1" applyBorder="1"/>
    <xf numFmtId="44" fontId="0" fillId="0" borderId="49" xfId="2" applyFont="1" applyBorder="1"/>
    <xf numFmtId="0" fontId="5" fillId="0" borderId="0" xfId="0" applyFont="1"/>
    <xf numFmtId="44" fontId="5" fillId="0" borderId="0" xfId="0" applyNumberFormat="1" applyFont="1"/>
    <xf numFmtId="0" fontId="2" fillId="0" borderId="0" xfId="0" applyFont="1"/>
    <xf numFmtId="9" fontId="6" fillId="2" borderId="5" xfId="3"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wrapText="1"/>
      <protection locked="0"/>
    </xf>
    <xf numFmtId="3" fontId="7" fillId="9" borderId="1" xfId="0" applyNumberFormat="1" applyFont="1" applyFill="1" applyBorder="1" applyAlignment="1" applyProtection="1">
      <alignment horizontal="center" vertical="center"/>
      <protection locked="0"/>
    </xf>
    <xf numFmtId="44" fontId="26" fillId="0" borderId="1" xfId="2" applyFont="1" applyBorder="1"/>
    <xf numFmtId="0" fontId="18" fillId="2" borderId="0" xfId="0" applyFont="1" applyFill="1" applyAlignment="1" applyProtection="1">
      <alignment horizontal="left"/>
      <protection locked="0"/>
    </xf>
    <xf numFmtId="0" fontId="7" fillId="2" borderId="11"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44" fontId="0" fillId="13" borderId="1" xfId="0" applyNumberFormat="1" applyFill="1" applyBorder="1"/>
    <xf numFmtId="0" fontId="6" fillId="13" borderId="1" xfId="0" applyFont="1" applyFill="1" applyBorder="1"/>
    <xf numFmtId="4" fontId="0" fillId="0" borderId="0" xfId="0" applyNumberFormat="1"/>
    <xf numFmtId="44" fontId="6" fillId="2" borderId="0" xfId="2" applyFont="1" applyFill="1" applyBorder="1"/>
    <xf numFmtId="0" fontId="0" fillId="13" borderId="1" xfId="0" applyFill="1" applyBorder="1"/>
    <xf numFmtId="0" fontId="0" fillId="0" borderId="0" xfId="0" applyAlignment="1">
      <alignment vertical="center"/>
    </xf>
    <xf numFmtId="0" fontId="5" fillId="2" borderId="0" xfId="0" applyFont="1" applyFill="1" applyAlignment="1">
      <alignment horizontal="center" vertical="center" wrapText="1"/>
    </xf>
    <xf numFmtId="44" fontId="5" fillId="2" borderId="0" xfId="2" applyFont="1" applyFill="1" applyBorder="1" applyProtection="1"/>
    <xf numFmtId="44" fontId="5" fillId="2" borderId="0" xfId="0" applyNumberFormat="1" applyFont="1" applyFill="1"/>
    <xf numFmtId="43" fontId="6" fillId="2" borderId="5" xfId="0" applyNumberFormat="1" applyFont="1" applyFill="1" applyBorder="1" applyAlignment="1">
      <alignment horizontal="center" vertical="center"/>
    </xf>
    <xf numFmtId="0" fontId="0" fillId="13" borderId="0" xfId="0" applyFill="1" applyAlignment="1">
      <alignment horizontal="center"/>
    </xf>
    <xf numFmtId="4" fontId="6" fillId="2" borderId="0" xfId="0" applyNumberFormat="1" applyFont="1" applyFill="1" applyProtection="1">
      <protection locked="0"/>
    </xf>
    <xf numFmtId="0" fontId="6" fillId="14" borderId="51" xfId="0" applyFont="1" applyFill="1" applyBorder="1" applyProtection="1">
      <protection locked="0"/>
    </xf>
    <xf numFmtId="0" fontId="6" fillId="14" borderId="3" xfId="0" applyFont="1" applyFill="1" applyBorder="1" applyProtection="1">
      <protection locked="0"/>
    </xf>
    <xf numFmtId="0" fontId="6" fillId="14" borderId="52" xfId="0" applyFont="1" applyFill="1" applyBorder="1" applyProtection="1">
      <protection locked="0"/>
    </xf>
    <xf numFmtId="44" fontId="5" fillId="2" borderId="3" xfId="2" applyFont="1" applyFill="1" applyBorder="1" applyAlignment="1" applyProtection="1">
      <alignment horizontal="right"/>
      <protection locked="0"/>
    </xf>
    <xf numFmtId="44" fontId="5" fillId="2" borderId="0" xfId="2" applyFont="1" applyFill="1" applyBorder="1" applyAlignment="1" applyProtection="1">
      <alignment horizontal="right"/>
      <protection locked="0"/>
    </xf>
    <xf numFmtId="44" fontId="4" fillId="2" borderId="0" xfId="2" applyFont="1" applyFill="1" applyBorder="1" applyAlignment="1" applyProtection="1">
      <alignment horizontal="right"/>
      <protection locked="0"/>
    </xf>
    <xf numFmtId="44" fontId="6" fillId="2" borderId="0" xfId="2" applyFont="1" applyFill="1" applyBorder="1" applyAlignment="1" applyProtection="1">
      <alignment horizontal="left"/>
      <protection locked="0"/>
    </xf>
    <xf numFmtId="0" fontId="0" fillId="12" borderId="0" xfId="0" applyFill="1"/>
    <xf numFmtId="0" fontId="28" fillId="17" borderId="54" xfId="6" applyFont="1" applyFill="1" applyBorder="1" applyAlignment="1">
      <alignment horizontal="center" vertical="center"/>
    </xf>
    <xf numFmtId="0" fontId="28" fillId="17" borderId="56" xfId="6" applyFont="1" applyFill="1" applyBorder="1" applyAlignment="1">
      <alignment horizontal="center" vertical="center"/>
    </xf>
    <xf numFmtId="0" fontId="29" fillId="0" borderId="53" xfId="7" applyBorder="1"/>
    <xf numFmtId="2" fontId="29" fillId="0" borderId="53" xfId="7" applyNumberFormat="1" applyBorder="1"/>
    <xf numFmtId="0" fontId="30" fillId="0" borderId="53" xfId="7" applyFont="1" applyBorder="1"/>
    <xf numFmtId="2" fontId="30" fillId="0" borderId="53" xfId="7" applyNumberFormat="1" applyFont="1" applyBorder="1"/>
    <xf numFmtId="0" fontId="28" fillId="19" borderId="53" xfId="6" applyFont="1" applyFill="1" applyBorder="1" applyAlignment="1">
      <alignment horizontal="center" vertical="center" wrapText="1"/>
    </xf>
    <xf numFmtId="0" fontId="0" fillId="2" borderId="0" xfId="0" applyFill="1" applyAlignment="1">
      <alignment horizontal="center"/>
    </xf>
    <xf numFmtId="9" fontId="29" fillId="2" borderId="0" xfId="3" applyFont="1" applyFill="1" applyBorder="1" applyAlignment="1">
      <alignment horizontal="center"/>
    </xf>
    <xf numFmtId="44" fontId="2" fillId="0" borderId="0" xfId="0" applyNumberFormat="1" applyFont="1"/>
    <xf numFmtId="0" fontId="28" fillId="16" borderId="54" xfId="6" applyFont="1" applyFill="1" applyBorder="1" applyAlignment="1">
      <alignment horizontal="center" vertical="center" wrapText="1"/>
    </xf>
    <xf numFmtId="0" fontId="28" fillId="16" borderId="55" xfId="6" applyFont="1" applyFill="1" applyBorder="1" applyAlignment="1">
      <alignment horizontal="center" vertical="center" wrapText="1"/>
    </xf>
    <xf numFmtId="0" fontId="28" fillId="16" borderId="56" xfId="6" applyFont="1" applyFill="1" applyBorder="1" applyAlignment="1">
      <alignment horizontal="center" vertical="center" wrapText="1"/>
    </xf>
    <xf numFmtId="10" fontId="6" fillId="7" borderId="5" xfId="3" applyNumberFormat="1" applyFont="1" applyFill="1" applyBorder="1" applyAlignment="1" applyProtection="1">
      <alignment horizontal="center"/>
      <protection locked="0"/>
    </xf>
    <xf numFmtId="9" fontId="6" fillId="7" borderId="5" xfId="3" applyFont="1" applyFill="1" applyBorder="1" applyAlignment="1" applyProtection="1">
      <alignment horizontal="center"/>
      <protection locked="0"/>
    </xf>
    <xf numFmtId="171" fontId="6" fillId="2" borderId="5" xfId="3" applyNumberFormat="1" applyFont="1" applyFill="1" applyBorder="1" applyAlignment="1" applyProtection="1">
      <alignment horizontal="center" vertical="center"/>
      <protection locked="0"/>
    </xf>
    <xf numFmtId="171" fontId="6" fillId="7" borderId="5" xfId="3" applyNumberFormat="1" applyFont="1" applyFill="1" applyBorder="1" applyAlignment="1" applyProtection="1">
      <alignment horizontal="center"/>
      <protection locked="0"/>
    </xf>
    <xf numFmtId="0" fontId="4" fillId="2" borderId="0" xfId="0" applyFont="1" applyFill="1"/>
    <xf numFmtId="0" fontId="4" fillId="2" borderId="0" xfId="0" applyFont="1" applyFill="1" applyAlignment="1">
      <alignment horizontal="center"/>
    </xf>
    <xf numFmtId="0" fontId="6" fillId="14" borderId="11" xfId="0" applyFont="1" applyFill="1" applyBorder="1" applyProtection="1">
      <protection locked="0"/>
    </xf>
    <xf numFmtId="44" fontId="7" fillId="2" borderId="12" xfId="2" applyFont="1" applyFill="1" applyBorder="1" applyAlignment="1" applyProtection="1">
      <alignment horizontal="center" vertical="center" wrapText="1"/>
      <protection locked="0"/>
    </xf>
    <xf numFmtId="0" fontId="6" fillId="15" borderId="12" xfId="0" applyFont="1" applyFill="1" applyBorder="1" applyProtection="1">
      <protection locked="0"/>
    </xf>
    <xf numFmtId="0" fontId="6" fillId="15" borderId="16" xfId="0" applyFont="1" applyFill="1" applyBorder="1" applyProtection="1">
      <protection locked="0"/>
    </xf>
    <xf numFmtId="0" fontId="6" fillId="15" borderId="9" xfId="0" applyFont="1" applyFill="1" applyBorder="1" applyProtection="1">
      <protection locked="0"/>
    </xf>
    <xf numFmtId="0" fontId="22" fillId="6" borderId="31" xfId="0" applyFont="1" applyFill="1" applyBorder="1" applyAlignment="1" applyProtection="1">
      <alignment vertical="center"/>
      <protection hidden="1"/>
    </xf>
    <xf numFmtId="0" fontId="22" fillId="6" borderId="0" xfId="0" applyFont="1" applyFill="1" applyAlignment="1" applyProtection="1">
      <alignment vertical="center"/>
      <protection hidden="1"/>
    </xf>
    <xf numFmtId="165" fontId="22" fillId="6" borderId="0" xfId="1" applyNumberFormat="1" applyFont="1" applyFill="1" applyBorder="1" applyAlignment="1" applyProtection="1">
      <alignment vertical="center"/>
      <protection hidden="1"/>
    </xf>
    <xf numFmtId="164" fontId="22" fillId="6" borderId="0" xfId="2" applyNumberFormat="1" applyFont="1" applyFill="1" applyBorder="1" applyAlignment="1" applyProtection="1">
      <alignment vertical="center"/>
      <protection hidden="1"/>
    </xf>
    <xf numFmtId="166" fontId="22" fillId="6" borderId="32" xfId="1" applyNumberFormat="1" applyFont="1" applyFill="1" applyBorder="1" applyAlignment="1" applyProtection="1">
      <alignment vertical="center"/>
      <protection hidden="1"/>
    </xf>
    <xf numFmtId="0" fontId="0" fillId="0" borderId="0" xfId="0" applyProtection="1">
      <protection hidden="1"/>
    </xf>
    <xf numFmtId="164" fontId="22" fillId="6" borderId="0" xfId="1" applyNumberFormat="1" applyFont="1" applyFill="1" applyBorder="1" applyAlignment="1" applyProtection="1">
      <alignment vertical="center"/>
      <protection hidden="1"/>
    </xf>
    <xf numFmtId="0" fontId="6" fillId="2" borderId="51" xfId="0" applyFont="1" applyFill="1" applyBorder="1" applyProtection="1">
      <protection locked="0"/>
    </xf>
    <xf numFmtId="4" fontId="6" fillId="2" borderId="51" xfId="0" applyNumberFormat="1" applyFont="1" applyFill="1" applyBorder="1" applyProtection="1">
      <protection locked="0"/>
    </xf>
    <xf numFmtId="0" fontId="6" fillId="2" borderId="52" xfId="0" applyFont="1" applyFill="1" applyBorder="1" applyProtection="1">
      <protection locked="0"/>
    </xf>
    <xf numFmtId="4" fontId="6" fillId="2" borderId="52" xfId="0" applyNumberFormat="1" applyFont="1" applyFill="1" applyBorder="1" applyProtection="1">
      <protection locked="0"/>
    </xf>
    <xf numFmtId="0" fontId="6" fillId="2" borderId="11" xfId="0" applyFont="1" applyFill="1" applyBorder="1" applyProtection="1">
      <protection locked="0"/>
    </xf>
    <xf numFmtId="4" fontId="6" fillId="2" borderId="11" xfId="0" applyNumberFormat="1" applyFont="1" applyFill="1" applyBorder="1" applyProtection="1">
      <protection locked="0"/>
    </xf>
    <xf numFmtId="0" fontId="6" fillId="2" borderId="12" xfId="0" applyFont="1" applyFill="1" applyBorder="1" applyProtection="1">
      <protection locked="0"/>
    </xf>
    <xf numFmtId="0" fontId="6" fillId="2" borderId="16" xfId="0" applyFont="1" applyFill="1" applyBorder="1" applyProtection="1">
      <protection locked="0"/>
    </xf>
    <xf numFmtId="0" fontId="6" fillId="2" borderId="9" xfId="0" applyFont="1" applyFill="1" applyBorder="1" applyProtection="1">
      <protection locked="0"/>
    </xf>
    <xf numFmtId="44" fontId="6" fillId="14" borderId="12" xfId="2" applyFont="1" applyFill="1" applyBorder="1" applyProtection="1"/>
    <xf numFmtId="44" fontId="6" fillId="14" borderId="16" xfId="2" applyFont="1" applyFill="1" applyBorder="1" applyProtection="1"/>
    <xf numFmtId="44" fontId="6" fillId="14" borderId="9" xfId="2" applyFont="1" applyFill="1" applyBorder="1" applyProtection="1"/>
    <xf numFmtId="44" fontId="6" fillId="2" borderId="3" xfId="2" applyFont="1" applyFill="1" applyBorder="1" applyProtection="1"/>
    <xf numFmtId="44" fontId="6" fillId="14" borderId="51" xfId="2" applyFont="1" applyFill="1" applyBorder="1" applyProtection="1"/>
    <xf numFmtId="44" fontId="6" fillId="2" borderId="51" xfId="2" applyFont="1" applyFill="1" applyBorder="1" applyProtection="1"/>
    <xf numFmtId="44" fontId="6" fillId="14" borderId="1" xfId="2" applyFont="1" applyFill="1" applyBorder="1" applyProtection="1"/>
    <xf numFmtId="0" fontId="4" fillId="9" borderId="1" xfId="0" applyFont="1" applyFill="1" applyBorder="1" applyAlignment="1" applyProtection="1">
      <alignment horizontal="center" vertical="center"/>
      <protection locked="0"/>
    </xf>
    <xf numFmtId="0" fontId="0" fillId="2" borderId="1" xfId="0" applyFill="1" applyBorder="1" applyProtection="1">
      <protection locked="0"/>
    </xf>
    <xf numFmtId="166" fontId="7" fillId="9" borderId="9" xfId="0" applyNumberFormat="1" applyFont="1" applyFill="1" applyBorder="1"/>
    <xf numFmtId="173" fontId="7" fillId="9" borderId="1" xfId="2" applyNumberFormat="1" applyFont="1" applyFill="1" applyBorder="1" applyAlignment="1" applyProtection="1">
      <alignment horizontal="right"/>
    </xf>
    <xf numFmtId="0" fontId="7" fillId="9" borderId="11" xfId="0" applyFont="1" applyFill="1" applyBorder="1"/>
    <xf numFmtId="165" fontId="6" fillId="2" borderId="0" xfId="0" applyNumberFormat="1" applyFont="1" applyFill="1"/>
    <xf numFmtId="164" fontId="7" fillId="2" borderId="0" xfId="0" applyNumberFormat="1" applyFont="1" applyFill="1"/>
    <xf numFmtId="44" fontId="7" fillId="2" borderId="0" xfId="2" applyFont="1" applyFill="1" applyProtection="1"/>
    <xf numFmtId="44" fontId="6" fillId="2" borderId="0" xfId="2" applyFont="1" applyFill="1" applyProtection="1"/>
    <xf numFmtId="0" fontId="15" fillId="5" borderId="0" xfId="0" applyFont="1" applyFill="1" applyProtection="1">
      <protection locked="0"/>
    </xf>
    <xf numFmtId="0" fontId="21" fillId="5" borderId="0" xfId="0" applyFont="1" applyFill="1" applyProtection="1">
      <protection locked="0"/>
    </xf>
    <xf numFmtId="0" fontId="13" fillId="0" borderId="0" xfId="0" applyFont="1" applyProtection="1">
      <protection locked="0"/>
    </xf>
    <xf numFmtId="0" fontId="13" fillId="0" borderId="0" xfId="0" applyFont="1" applyAlignment="1" applyProtection="1">
      <alignment horizontal="center" vertical="center"/>
      <protection locked="0"/>
    </xf>
    <xf numFmtId="0" fontId="14" fillId="4" borderId="7" xfId="0" applyFont="1" applyFill="1" applyBorder="1" applyAlignment="1" applyProtection="1">
      <alignment vertical="center"/>
      <protection locked="0"/>
    </xf>
    <xf numFmtId="14" fontId="14" fillId="4" borderId="17" xfId="0" applyNumberFormat="1" applyFont="1" applyFill="1" applyBorder="1" applyAlignment="1" applyProtection="1">
      <alignment vertical="center"/>
      <protection locked="0"/>
    </xf>
    <xf numFmtId="0" fontId="14" fillId="4" borderId="8" xfId="0" applyFont="1" applyFill="1" applyBorder="1" applyAlignment="1" applyProtection="1">
      <alignment vertical="center"/>
      <protection locked="0"/>
    </xf>
    <xf numFmtId="0" fontId="12" fillId="2" borderId="0" xfId="0" applyFont="1" applyFill="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13" fillId="2" borderId="0" xfId="0" applyFont="1" applyFill="1" applyProtection="1">
      <protection locked="0"/>
    </xf>
    <xf numFmtId="0" fontId="13" fillId="0" borderId="20" xfId="0" applyFont="1" applyBorder="1" applyAlignment="1" applyProtection="1">
      <alignment horizontal="center"/>
      <protection locked="0"/>
    </xf>
    <xf numFmtId="1" fontId="13" fillId="0" borderId="5" xfId="0" applyNumberFormat="1" applyFont="1" applyBorder="1" applyAlignment="1" applyProtection="1">
      <alignment horizontal="center" vertical="center"/>
      <protection locked="0"/>
    </xf>
    <xf numFmtId="44" fontId="13" fillId="0" borderId="5" xfId="2"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10" fontId="13" fillId="0" borderId="5" xfId="3" applyNumberFormat="1" applyFont="1" applyBorder="1" applyAlignment="1" applyProtection="1">
      <alignment horizontal="center" vertical="center"/>
      <protection locked="0"/>
    </xf>
    <xf numFmtId="44" fontId="17" fillId="2" borderId="21" xfId="2" applyFont="1" applyFill="1" applyBorder="1" applyAlignment="1" applyProtection="1">
      <alignment horizontal="center" vertical="center"/>
      <protection locked="0"/>
    </xf>
    <xf numFmtId="44" fontId="13" fillId="0" borderId="0" xfId="0" applyNumberFormat="1" applyFont="1" applyProtection="1">
      <protection locked="0"/>
    </xf>
    <xf numFmtId="44" fontId="13" fillId="0" borderId="0" xfId="2" applyFont="1" applyProtection="1">
      <protection locked="0"/>
    </xf>
    <xf numFmtId="0" fontId="12" fillId="0" borderId="22" xfId="0" applyFont="1" applyBorder="1" applyProtection="1">
      <protection locked="0"/>
    </xf>
    <xf numFmtId="1" fontId="12" fillId="0" borderId="25" xfId="0" applyNumberFormat="1" applyFont="1" applyBorder="1" applyAlignment="1" applyProtection="1">
      <alignment horizontal="center" vertical="center"/>
      <protection locked="0"/>
    </xf>
    <xf numFmtId="0" fontId="13" fillId="1" borderId="25" xfId="0" applyFont="1" applyFill="1" applyBorder="1" applyProtection="1">
      <protection locked="0"/>
    </xf>
    <xf numFmtId="44" fontId="12" fillId="0" borderId="25" xfId="2" applyFont="1" applyBorder="1" applyAlignment="1" applyProtection="1">
      <alignment horizontal="center" vertical="center"/>
      <protection locked="0"/>
    </xf>
    <xf numFmtId="9" fontId="12" fillId="0" borderId="25" xfId="3" applyFont="1" applyBorder="1" applyAlignment="1" applyProtection="1">
      <alignment horizontal="center" vertical="center"/>
      <protection locked="0"/>
    </xf>
    <xf numFmtId="44" fontId="12" fillId="0" borderId="25" xfId="3" applyNumberFormat="1" applyFont="1" applyBorder="1" applyAlignment="1" applyProtection="1">
      <alignment horizontal="center" vertical="center"/>
      <protection locked="0"/>
    </xf>
    <xf numFmtId="44" fontId="16" fillId="5" borderId="26" xfId="2" applyFont="1" applyFill="1" applyBorder="1" applyAlignment="1" applyProtection="1">
      <alignment horizontal="center" vertical="center"/>
      <protection locked="0"/>
    </xf>
    <xf numFmtId="9" fontId="13" fillId="0" borderId="0" xfId="0" applyNumberFormat="1" applyFont="1" applyProtection="1">
      <protection locked="0"/>
    </xf>
    <xf numFmtId="9" fontId="13" fillId="0" borderId="0" xfId="3" applyFont="1" applyProtection="1">
      <protection locked="0"/>
    </xf>
    <xf numFmtId="0" fontId="0" fillId="0" borderId="0" xfId="0" applyAlignment="1" applyProtection="1">
      <alignment horizontal="center" vertical="center"/>
      <protection hidden="1"/>
    </xf>
    <xf numFmtId="0" fontId="3" fillId="2" borderId="0" xfId="0" applyFont="1" applyFill="1" applyProtection="1">
      <protection hidden="1"/>
    </xf>
    <xf numFmtId="0" fontId="9" fillId="2" borderId="0" xfId="0" applyFont="1" applyFill="1" applyProtection="1">
      <protection hidden="1"/>
    </xf>
    <xf numFmtId="44" fontId="9" fillId="2" borderId="0" xfId="2" applyFont="1" applyFill="1" applyBorder="1" applyAlignment="1" applyProtection="1">
      <alignment horizontal="center"/>
      <protection hidden="1"/>
    </xf>
    <xf numFmtId="0" fontId="3" fillId="2" borderId="28" xfId="0" applyFont="1" applyFill="1" applyBorder="1" applyProtection="1">
      <protection hidden="1"/>
    </xf>
    <xf numFmtId="0" fontId="3" fillId="2" borderId="29" xfId="0" applyFont="1" applyFill="1" applyBorder="1" applyProtection="1">
      <protection hidden="1"/>
    </xf>
    <xf numFmtId="0" fontId="0" fillId="0" borderId="29" xfId="0" applyBorder="1" applyProtection="1">
      <protection hidden="1"/>
    </xf>
    <xf numFmtId="0" fontId="0" fillId="0" borderId="30" xfId="0" applyBorder="1" applyProtection="1">
      <protection hidden="1"/>
    </xf>
    <xf numFmtId="0" fontId="3" fillId="2" borderId="31" xfId="0" applyFont="1" applyFill="1" applyBorder="1" applyProtection="1">
      <protection hidden="1"/>
    </xf>
    <xf numFmtId="170" fontId="8" fillId="2" borderId="0" xfId="0" applyNumberFormat="1" applyFont="1" applyFill="1" applyAlignment="1" applyProtection="1">
      <alignment horizontal="left"/>
      <protection hidden="1"/>
    </xf>
    <xf numFmtId="0" fontId="0" fillId="0" borderId="32" xfId="0" applyBorder="1" applyProtection="1">
      <protection hidden="1"/>
    </xf>
    <xf numFmtId="0" fontId="0" fillId="0" borderId="31" xfId="0" applyBorder="1" applyProtection="1">
      <protection hidden="1"/>
    </xf>
    <xf numFmtId="170" fontId="8" fillId="2" borderId="33" xfId="0" applyNumberFormat="1" applyFont="1" applyFill="1" applyBorder="1" applyAlignment="1" applyProtection="1">
      <alignment horizontal="right"/>
      <protection hidden="1"/>
    </xf>
    <xf numFmtId="170" fontId="8" fillId="2" borderId="34" xfId="0" applyNumberFormat="1" applyFont="1" applyFill="1" applyBorder="1" applyAlignment="1" applyProtection="1">
      <alignment horizontal="right"/>
      <protection hidden="1"/>
    </xf>
    <xf numFmtId="0" fontId="0" fillId="0" borderId="34" xfId="0" applyBorder="1" applyProtection="1">
      <protection hidden="1"/>
    </xf>
    <xf numFmtId="0" fontId="0" fillId="0" borderId="35" xfId="0" applyBorder="1" applyProtection="1">
      <protection hidden="1"/>
    </xf>
    <xf numFmtId="0" fontId="8" fillId="11" borderId="31" xfId="0" applyFont="1" applyFill="1" applyBorder="1" applyAlignment="1" applyProtection="1">
      <alignment horizontal="left" vertical="center"/>
      <protection hidden="1"/>
    </xf>
    <xf numFmtId="0" fontId="9" fillId="11" borderId="0" xfId="0" applyFont="1" applyFill="1" applyAlignment="1" applyProtection="1">
      <alignment horizontal="left" vertical="center" wrapText="1"/>
      <protection hidden="1"/>
    </xf>
    <xf numFmtId="0" fontId="8" fillId="11" borderId="0" xfId="0" applyFont="1" applyFill="1" applyAlignment="1" applyProtection="1">
      <alignment horizontal="left" vertical="center"/>
      <protection hidden="1"/>
    </xf>
    <xf numFmtId="172" fontId="9" fillId="11" borderId="0" xfId="0" applyNumberFormat="1" applyFont="1" applyFill="1" applyAlignment="1" applyProtection="1">
      <alignment horizontal="left" vertical="center"/>
      <protection hidden="1"/>
    </xf>
    <xf numFmtId="0" fontId="0" fillId="11" borderId="0" xfId="0" applyFill="1" applyProtection="1">
      <protection hidden="1"/>
    </xf>
    <xf numFmtId="0" fontId="9" fillId="11" borderId="0" xfId="0" applyFont="1" applyFill="1" applyAlignment="1" applyProtection="1">
      <alignment horizontal="left" vertical="center"/>
      <protection hidden="1"/>
    </xf>
    <xf numFmtId="172" fontId="8" fillId="11" borderId="0" xfId="0" applyNumberFormat="1" applyFont="1" applyFill="1" applyAlignment="1" applyProtection="1">
      <alignment horizontal="left" vertical="center"/>
      <protection hidden="1"/>
    </xf>
    <xf numFmtId="0" fontId="9" fillId="11" borderId="0" xfId="0" applyFont="1" applyFill="1" applyAlignment="1" applyProtection="1">
      <alignment horizontal="center" vertical="center"/>
      <protection hidden="1"/>
    </xf>
    <xf numFmtId="172" fontId="9" fillId="11" borderId="32" xfId="0" applyNumberFormat="1" applyFont="1" applyFill="1" applyBorder="1" applyAlignment="1" applyProtection="1">
      <alignment horizontal="left" vertical="center"/>
      <protection hidden="1"/>
    </xf>
    <xf numFmtId="0" fontId="11" fillId="5" borderId="31" xfId="0" applyFont="1" applyFill="1" applyBorder="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11" fillId="5" borderId="32" xfId="0" applyFont="1" applyFill="1" applyBorder="1" applyAlignment="1" applyProtection="1">
      <alignment horizontal="center" vertical="center"/>
      <protection hidden="1"/>
    </xf>
    <xf numFmtId="0" fontId="8" fillId="11" borderId="31" xfId="0" applyFont="1" applyFill="1" applyBorder="1" applyAlignment="1" applyProtection="1">
      <alignment horizontal="center" vertical="center"/>
      <protection hidden="1"/>
    </xf>
    <xf numFmtId="0" fontId="8" fillId="11" borderId="0" xfId="0" applyFont="1" applyFill="1" applyAlignment="1" applyProtection="1">
      <alignment horizontal="center" vertical="center"/>
      <protection hidden="1"/>
    </xf>
    <xf numFmtId="0" fontId="8" fillId="11" borderId="32" xfId="0" applyFont="1" applyFill="1" applyBorder="1" applyAlignment="1" applyProtection="1">
      <alignment horizontal="center" vertical="center"/>
      <protection hidden="1"/>
    </xf>
    <xf numFmtId="1" fontId="8" fillId="11" borderId="0" xfId="0" applyNumberFormat="1" applyFont="1" applyFill="1" applyAlignment="1" applyProtection="1">
      <alignment horizontal="center" vertical="center"/>
      <protection hidden="1"/>
    </xf>
    <xf numFmtId="0" fontId="0" fillId="2" borderId="0" xfId="0" applyFill="1" applyAlignment="1" applyProtection="1">
      <alignment vertical="top" wrapText="1"/>
      <protection hidden="1"/>
    </xf>
    <xf numFmtId="14" fontId="8" fillId="11" borderId="32" xfId="0" applyNumberFormat="1" applyFont="1" applyFill="1" applyBorder="1" applyAlignment="1" applyProtection="1">
      <alignment horizontal="center" vertical="center"/>
      <protection hidden="1"/>
    </xf>
    <xf numFmtId="0" fontId="3" fillId="2" borderId="0" xfId="0" applyFont="1" applyFill="1" applyAlignment="1" applyProtection="1">
      <alignment horizontal="center"/>
      <protection hidden="1"/>
    </xf>
    <xf numFmtId="43" fontId="3" fillId="2" borderId="0" xfId="0" applyNumberFormat="1" applyFont="1" applyFill="1" applyProtection="1">
      <protection hidden="1"/>
    </xf>
    <xf numFmtId="166" fontId="3" fillId="2" borderId="0" xfId="0" applyNumberFormat="1" applyFont="1" applyFill="1" applyProtection="1">
      <protection hidden="1"/>
    </xf>
    <xf numFmtId="0" fontId="9" fillId="2" borderId="31" xfId="0" applyFont="1" applyFill="1" applyBorder="1" applyAlignment="1" applyProtection="1">
      <alignment vertical="center"/>
      <protection hidden="1"/>
    </xf>
    <xf numFmtId="0" fontId="9" fillId="2" borderId="0" xfId="0" applyFont="1" applyFill="1" applyAlignment="1" applyProtection="1">
      <alignment vertical="center"/>
      <protection hidden="1"/>
    </xf>
    <xf numFmtId="165" fontId="9" fillId="2" borderId="0" xfId="1" applyNumberFormat="1" applyFont="1" applyFill="1" applyBorder="1" applyAlignment="1" applyProtection="1">
      <alignment horizontal="center" vertical="center"/>
      <protection hidden="1"/>
    </xf>
    <xf numFmtId="164" fontId="9" fillId="2" borderId="0" xfId="2" applyNumberFormat="1" applyFont="1" applyFill="1" applyBorder="1" applyAlignment="1" applyProtection="1">
      <alignment vertical="center"/>
      <protection hidden="1"/>
    </xf>
    <xf numFmtId="44" fontId="9" fillId="2" borderId="32" xfId="2" applyFont="1" applyFill="1" applyBorder="1" applyAlignment="1" applyProtection="1">
      <alignment vertical="center"/>
      <protection hidden="1"/>
    </xf>
    <xf numFmtId="9" fontId="25" fillId="2" borderId="0" xfId="3" applyFont="1" applyFill="1" applyProtection="1">
      <protection hidden="1"/>
    </xf>
    <xf numFmtId="166" fontId="5" fillId="2" borderId="0" xfId="0" applyNumberFormat="1" applyFont="1" applyFill="1" applyProtection="1">
      <protection hidden="1"/>
    </xf>
    <xf numFmtId="0" fontId="0" fillId="2" borderId="31" xfId="0" applyFill="1" applyBorder="1" applyAlignment="1" applyProtection="1">
      <alignment vertical="center"/>
      <protection hidden="1"/>
    </xf>
    <xf numFmtId="0" fontId="0" fillId="2" borderId="0" xfId="0" applyFill="1" applyAlignment="1" applyProtection="1">
      <alignment vertical="center"/>
      <protection hidden="1"/>
    </xf>
    <xf numFmtId="171" fontId="0" fillId="2" borderId="0" xfId="0" applyNumberFormat="1" applyFill="1" applyAlignment="1" applyProtection="1">
      <alignment vertical="center"/>
      <protection hidden="1"/>
    </xf>
    <xf numFmtId="165" fontId="9" fillId="2" borderId="0" xfId="1" applyNumberFormat="1" applyFont="1" applyFill="1" applyBorder="1" applyAlignment="1" applyProtection="1">
      <alignment vertical="center"/>
      <protection hidden="1"/>
    </xf>
    <xf numFmtId="0" fontId="0" fillId="2" borderId="31" xfId="0"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10" fontId="0" fillId="2" borderId="0" xfId="0" applyNumberFormat="1" applyFill="1" applyAlignment="1" applyProtection="1">
      <alignment vertical="center"/>
      <protection hidden="1"/>
    </xf>
    <xf numFmtId="44" fontId="0" fillId="0" borderId="0" xfId="0" applyNumberFormat="1" applyProtection="1">
      <protection hidden="1"/>
    </xf>
    <xf numFmtId="9" fontId="0" fillId="2" borderId="0" xfId="0" applyNumberFormat="1" applyFill="1" applyAlignment="1" applyProtection="1">
      <alignment vertical="center"/>
      <protection hidden="1"/>
    </xf>
    <xf numFmtId="10" fontId="0" fillId="2" borderId="0" xfId="0" applyNumberFormat="1" applyFill="1" applyAlignment="1" applyProtection="1">
      <alignment horizontal="right" vertical="center"/>
      <protection hidden="1"/>
    </xf>
    <xf numFmtId="0" fontId="8" fillId="6" borderId="31" xfId="0"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165" fontId="8" fillId="6" borderId="0" xfId="2" applyNumberFormat="1" applyFont="1" applyFill="1" applyBorder="1" applyAlignment="1" applyProtection="1">
      <alignment vertical="center"/>
      <protection hidden="1"/>
    </xf>
    <xf numFmtId="164" fontId="8" fillId="6" borderId="0" xfId="2" applyNumberFormat="1" applyFont="1" applyFill="1" applyBorder="1" applyAlignment="1" applyProtection="1">
      <alignment vertical="center"/>
      <protection hidden="1"/>
    </xf>
    <xf numFmtId="44" fontId="8" fillId="6" borderId="32" xfId="2" applyFont="1" applyFill="1" applyBorder="1" applyAlignment="1" applyProtection="1">
      <alignment vertical="center"/>
      <protection hidden="1"/>
    </xf>
    <xf numFmtId="0" fontId="9" fillId="2" borderId="31"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8" fillId="6" borderId="31" xfId="0" applyFont="1" applyFill="1" applyBorder="1" applyAlignment="1" applyProtection="1">
      <alignment vertical="center"/>
      <protection hidden="1"/>
    </xf>
    <xf numFmtId="0" fontId="8" fillId="6" borderId="0" xfId="0" applyFont="1" applyFill="1" applyAlignment="1" applyProtection="1">
      <alignment vertical="center"/>
      <protection hidden="1"/>
    </xf>
    <xf numFmtId="9" fontId="7" fillId="6" borderId="0" xfId="3" applyFont="1" applyFill="1" applyBorder="1" applyAlignment="1" applyProtection="1">
      <alignment vertical="center" wrapText="1"/>
      <protection hidden="1"/>
    </xf>
    <xf numFmtId="0" fontId="4" fillId="5" borderId="33" xfId="0" applyFont="1" applyFill="1" applyBorder="1" applyAlignment="1" applyProtection="1">
      <alignment vertical="center" wrapText="1"/>
      <protection hidden="1"/>
    </xf>
    <xf numFmtId="0" fontId="4" fillId="5" borderId="34" xfId="0" applyFont="1" applyFill="1" applyBorder="1" applyAlignment="1" applyProtection="1">
      <alignment vertical="center" wrapText="1"/>
      <protection hidden="1"/>
    </xf>
    <xf numFmtId="9" fontId="4" fillId="5" borderId="34" xfId="3" applyFont="1" applyFill="1" applyBorder="1" applyAlignment="1" applyProtection="1">
      <alignment vertical="center" wrapText="1"/>
      <protection hidden="1"/>
    </xf>
    <xf numFmtId="165" fontId="11" fillId="5" borderId="34" xfId="2" applyNumberFormat="1" applyFont="1" applyFill="1" applyBorder="1" applyAlignment="1" applyProtection="1">
      <alignment vertical="center"/>
      <protection hidden="1"/>
    </xf>
    <xf numFmtId="164" fontId="11" fillId="5" borderId="34" xfId="2" applyNumberFormat="1" applyFont="1" applyFill="1" applyBorder="1" applyAlignment="1" applyProtection="1">
      <alignment vertical="center"/>
      <protection hidden="1"/>
    </xf>
    <xf numFmtId="44" fontId="11" fillId="5" borderId="35" xfId="2" applyFont="1" applyFill="1" applyBorder="1" applyAlignment="1" applyProtection="1">
      <alignment vertical="center"/>
      <protection hidden="1"/>
    </xf>
    <xf numFmtId="169" fontId="3" fillId="2" borderId="0" xfId="0" applyNumberFormat="1" applyFont="1" applyFill="1" applyProtection="1">
      <protection hidden="1"/>
    </xf>
    <xf numFmtId="0" fontId="11" fillId="5" borderId="34" xfId="2" applyNumberFormat="1" applyFont="1" applyFill="1" applyBorder="1" applyAlignment="1" applyProtection="1">
      <alignment vertical="center"/>
      <protection hidden="1"/>
    </xf>
    <xf numFmtId="44" fontId="0" fillId="0" borderId="0" xfId="2" applyFont="1" applyProtection="1">
      <protection hidden="1"/>
    </xf>
    <xf numFmtId="0" fontId="0" fillId="0" borderId="0" xfId="0" applyAlignment="1" applyProtection="1">
      <alignment vertical="center" wrapText="1"/>
      <protection hidden="1"/>
    </xf>
    <xf numFmtId="44" fontId="31" fillId="0" borderId="0" xfId="0" applyNumberFormat="1" applyFont="1" applyAlignment="1" applyProtection="1">
      <alignment vertical="center"/>
      <protection hidden="1"/>
    </xf>
    <xf numFmtId="0" fontId="7" fillId="2" borderId="11" xfId="0" applyFont="1" applyFill="1" applyBorder="1" applyAlignment="1">
      <alignment horizontal="center"/>
    </xf>
    <xf numFmtId="0" fontId="7" fillId="2" borderId="10" xfId="0" applyFont="1" applyFill="1" applyBorder="1" applyAlignment="1">
      <alignment horizontal="center"/>
    </xf>
    <xf numFmtId="44" fontId="0" fillId="0" borderId="1" xfId="2" applyFont="1" applyBorder="1" applyAlignment="1">
      <alignment horizontal="center"/>
    </xf>
    <xf numFmtId="0" fontId="0" fillId="0" borderId="1" xfId="0" applyBorder="1" applyAlignment="1">
      <alignment horizontal="center"/>
    </xf>
    <xf numFmtId="0" fontId="7" fillId="2" borderId="50" xfId="0" applyFont="1" applyFill="1" applyBorder="1" applyAlignment="1">
      <alignment horizontal="center"/>
    </xf>
    <xf numFmtId="0" fontId="18" fillId="2" borderId="0" xfId="0" applyFont="1" applyFill="1" applyAlignment="1">
      <alignment horizontal="left"/>
    </xf>
    <xf numFmtId="0" fontId="2" fillId="0" borderId="9" xfId="0" applyFont="1" applyBorder="1" applyAlignment="1">
      <alignment horizontal="center"/>
    </xf>
    <xf numFmtId="0" fontId="18" fillId="2" borderId="0" xfId="0" applyFont="1" applyFill="1" applyAlignment="1" applyProtection="1">
      <alignment horizontal="left"/>
      <protection locked="0"/>
    </xf>
    <xf numFmtId="44" fontId="5" fillId="2" borderId="3" xfId="2" applyFont="1" applyFill="1" applyBorder="1" applyAlignment="1" applyProtection="1">
      <alignment horizontal="left"/>
      <protection locked="0"/>
    </xf>
    <xf numFmtId="44" fontId="5" fillId="2" borderId="0" xfId="2" applyFont="1" applyFill="1" applyBorder="1" applyAlignment="1" applyProtection="1">
      <alignment horizontal="left"/>
      <protection locked="0"/>
    </xf>
    <xf numFmtId="0" fontId="8" fillId="10" borderId="31" xfId="0" applyFont="1" applyFill="1" applyBorder="1" applyAlignment="1" applyProtection="1">
      <alignment horizontal="center" vertical="center"/>
      <protection hidden="1"/>
    </xf>
    <xf numFmtId="0" fontId="8" fillId="10" borderId="0" xfId="0" applyFont="1" applyFill="1" applyAlignment="1" applyProtection="1">
      <alignment horizontal="center" vertical="center"/>
      <protection hidden="1"/>
    </xf>
    <xf numFmtId="0" fontId="8" fillId="10" borderId="32" xfId="0" applyFont="1" applyFill="1" applyBorder="1" applyAlignment="1" applyProtection="1">
      <alignment horizontal="center" vertical="center"/>
      <protection hidden="1"/>
    </xf>
    <xf numFmtId="0" fontId="8" fillId="6" borderId="31"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170" fontId="8" fillId="2" borderId="0" xfId="0" applyNumberFormat="1" applyFont="1" applyFill="1" applyAlignment="1" applyProtection="1">
      <alignment horizontal="right"/>
      <protection hidden="1"/>
    </xf>
    <xf numFmtId="170" fontId="8" fillId="2" borderId="32" xfId="0" applyNumberFormat="1" applyFont="1" applyFill="1" applyBorder="1" applyAlignment="1" applyProtection="1">
      <alignment horizontal="right"/>
      <protection hidden="1"/>
    </xf>
    <xf numFmtId="0" fontId="10" fillId="10" borderId="31" xfId="0" applyFont="1" applyFill="1" applyBorder="1" applyAlignment="1" applyProtection="1">
      <alignment horizontal="center" vertical="center"/>
      <protection hidden="1"/>
    </xf>
    <xf numFmtId="0" fontId="10" fillId="10" borderId="0" xfId="0" applyFont="1" applyFill="1" applyAlignment="1" applyProtection="1">
      <alignment horizontal="center" vertical="center"/>
      <protection hidden="1"/>
    </xf>
    <xf numFmtId="0" fontId="10" fillId="10" borderId="32" xfId="0" applyFont="1" applyFill="1" applyBorder="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8" fillId="11" borderId="0" xfId="0" applyFont="1" applyFill="1" applyAlignment="1" applyProtection="1">
      <alignment horizontal="center" vertical="center"/>
      <protection hidden="1"/>
    </xf>
    <xf numFmtId="0" fontId="10" fillId="10" borderId="28" xfId="0" applyFont="1" applyFill="1" applyBorder="1" applyAlignment="1" applyProtection="1">
      <alignment horizontal="center" vertical="center"/>
      <protection hidden="1"/>
    </xf>
    <xf numFmtId="0" fontId="10" fillId="10" borderId="29" xfId="0" applyFont="1" applyFill="1" applyBorder="1" applyAlignment="1" applyProtection="1">
      <alignment horizontal="center" vertical="center"/>
      <protection hidden="1"/>
    </xf>
    <xf numFmtId="0" fontId="10" fillId="10" borderId="30" xfId="0" applyFont="1" applyFill="1" applyBorder="1" applyAlignment="1" applyProtection="1">
      <alignment horizontal="center" vertical="center"/>
      <protection hidden="1"/>
    </xf>
    <xf numFmtId="0" fontId="9" fillId="11" borderId="0" xfId="0" applyFont="1" applyFill="1" applyAlignment="1" applyProtection="1">
      <alignment horizontal="left" vertical="center" wrapText="1"/>
      <protection hidden="1"/>
    </xf>
    <xf numFmtId="0" fontId="9" fillId="11" borderId="32" xfId="0" applyFont="1" applyFill="1" applyBorder="1" applyAlignment="1" applyProtection="1">
      <alignment horizontal="left" vertical="center" wrapText="1"/>
      <protection hidden="1"/>
    </xf>
    <xf numFmtId="0" fontId="8" fillId="6" borderId="31" xfId="0"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0" fillId="2" borderId="31" xfId="0"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31" xfId="0" applyFill="1" applyBorder="1" applyAlignment="1" applyProtection="1">
      <alignment horizontal="left" vertical="center" wrapText="1"/>
      <protection hidden="1"/>
    </xf>
    <xf numFmtId="0" fontId="0" fillId="2" borderId="0" xfId="0" applyFill="1" applyAlignment="1" applyProtection="1">
      <alignment horizontal="left" vertical="center" wrapText="1"/>
      <protection hidden="1"/>
    </xf>
    <xf numFmtId="0" fontId="32" fillId="0" borderId="0" xfId="0" applyFont="1" applyAlignment="1" applyProtection="1">
      <alignment horizontal="left" vertical="top" wrapText="1"/>
      <protection hidden="1"/>
    </xf>
    <xf numFmtId="0" fontId="8" fillId="10" borderId="28" xfId="0" applyFont="1" applyFill="1" applyBorder="1" applyAlignment="1" applyProtection="1">
      <alignment horizontal="center" vertical="center"/>
      <protection hidden="1"/>
    </xf>
    <xf numFmtId="0" fontId="8" fillId="10" borderId="29" xfId="0" applyFont="1" applyFill="1" applyBorder="1" applyAlignment="1" applyProtection="1">
      <alignment horizontal="center" vertical="center"/>
      <protection hidden="1"/>
    </xf>
    <xf numFmtId="0" fontId="8" fillId="10" borderId="30" xfId="0" applyFont="1" applyFill="1" applyBorder="1" applyAlignment="1" applyProtection="1">
      <alignment horizontal="center" vertical="center"/>
      <protection hidden="1"/>
    </xf>
    <xf numFmtId="0" fontId="13" fillId="0" borderId="5" xfId="0" applyFont="1" applyBorder="1" applyAlignment="1" applyProtection="1">
      <alignment horizontal="center"/>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protection locked="0"/>
    </xf>
    <xf numFmtId="0" fontId="14" fillId="4" borderId="17" xfId="0" applyFont="1" applyFill="1" applyBorder="1" applyAlignment="1" applyProtection="1">
      <alignment horizontal="center" vertical="center"/>
      <protection locked="0"/>
    </xf>
    <xf numFmtId="0" fontId="14" fillId="4" borderId="8" xfId="0" applyFont="1" applyFill="1" applyBorder="1" applyAlignment="1" applyProtection="1">
      <alignment horizontal="center" vertical="center"/>
      <protection locked="0"/>
    </xf>
    <xf numFmtId="49" fontId="13" fillId="1" borderId="23" xfId="0" applyNumberFormat="1" applyFont="1" applyFill="1" applyBorder="1" applyAlignment="1" applyProtection="1">
      <alignment horizontal="center"/>
      <protection locked="0"/>
    </xf>
    <xf numFmtId="49" fontId="13" fillId="1" borderId="24" xfId="0" applyNumberFormat="1" applyFont="1" applyFill="1" applyBorder="1" applyAlignment="1" applyProtection="1">
      <alignment horizontal="center"/>
      <protection locked="0"/>
    </xf>
    <xf numFmtId="0" fontId="2" fillId="13" borderId="45" xfId="0" applyFont="1" applyFill="1" applyBorder="1" applyAlignment="1">
      <alignment horizontal="center"/>
    </xf>
    <xf numFmtId="0" fontId="2" fillId="13" borderId="44" xfId="0" applyFont="1" applyFill="1" applyBorder="1" applyAlignment="1">
      <alignment horizontal="center"/>
    </xf>
    <xf numFmtId="0" fontId="0" fillId="13" borderId="28" xfId="0" applyFill="1" applyBorder="1" applyAlignment="1">
      <alignment horizontal="center" vertical="center"/>
    </xf>
    <xf numFmtId="0" fontId="0" fillId="13" borderId="8" xfId="0" applyFill="1" applyBorder="1" applyAlignment="1">
      <alignment horizontal="center" vertical="center"/>
    </xf>
    <xf numFmtId="166" fontId="0" fillId="13" borderId="45" xfId="0" applyNumberFormat="1" applyFill="1" applyBorder="1" applyAlignment="1">
      <alignment horizontal="center"/>
    </xf>
    <xf numFmtId="166" fontId="0" fillId="13" borderId="44" xfId="0" applyNumberFormat="1" applyFill="1" applyBorder="1" applyAlignment="1">
      <alignment horizontal="center"/>
    </xf>
    <xf numFmtId="0" fontId="2" fillId="13" borderId="37" xfId="0" applyFont="1" applyFill="1" applyBorder="1" applyAlignment="1">
      <alignment horizontal="center"/>
    </xf>
    <xf numFmtId="0" fontId="2" fillId="13" borderId="36" xfId="0" applyFont="1" applyFill="1" applyBorder="1" applyAlignment="1">
      <alignment horizontal="center"/>
    </xf>
    <xf numFmtId="0" fontId="0" fillId="13" borderId="45" xfId="0" applyFill="1" applyBorder="1" applyAlignment="1">
      <alignment horizontal="center" vertical="center"/>
    </xf>
    <xf numFmtId="0" fontId="0" fillId="13" borderId="44" xfId="0" applyFill="1" applyBorder="1" applyAlignment="1">
      <alignment horizontal="center" vertical="center"/>
    </xf>
    <xf numFmtId="0" fontId="0" fillId="13" borderId="39" xfId="0" applyFill="1" applyBorder="1" applyAlignment="1">
      <alignment horizontal="center"/>
    </xf>
    <xf numFmtId="0" fontId="0" fillId="13" borderId="38" xfId="0" applyFill="1" applyBorder="1" applyAlignment="1">
      <alignment horizontal="center"/>
    </xf>
    <xf numFmtId="0" fontId="2" fillId="13" borderId="7" xfId="0" applyFont="1" applyFill="1" applyBorder="1" applyAlignment="1">
      <alignment horizontal="center" vertical="center"/>
    </xf>
    <xf numFmtId="0" fontId="2" fillId="13" borderId="8" xfId="0" applyFont="1" applyFill="1" applyBorder="1" applyAlignment="1">
      <alignment horizontal="center" vertical="center"/>
    </xf>
    <xf numFmtId="0" fontId="2" fillId="13" borderId="7" xfId="0" applyFont="1" applyFill="1" applyBorder="1" applyAlignment="1">
      <alignment horizontal="center"/>
    </xf>
    <xf numFmtId="0" fontId="2" fillId="13" borderId="8" xfId="0" applyFont="1" applyFill="1" applyBorder="1" applyAlignment="1">
      <alignment horizontal="center"/>
    </xf>
    <xf numFmtId="0" fontId="2" fillId="13" borderId="28" xfId="0" applyFont="1" applyFill="1" applyBorder="1" applyAlignment="1">
      <alignment horizontal="center"/>
    </xf>
    <xf numFmtId="0" fontId="2" fillId="13" borderId="30" xfId="0" applyFont="1" applyFill="1" applyBorder="1" applyAlignment="1">
      <alignment horizontal="center"/>
    </xf>
    <xf numFmtId="0" fontId="28" fillId="16" borderId="53" xfId="6" applyFont="1" applyFill="1" applyBorder="1" applyAlignment="1">
      <alignment horizontal="center" vertical="center"/>
    </xf>
    <xf numFmtId="0" fontId="28" fillId="16" borderId="53" xfId="6" applyFont="1" applyFill="1" applyBorder="1" applyAlignment="1">
      <alignment horizontal="center" vertical="center" wrapText="1"/>
    </xf>
    <xf numFmtId="0" fontId="28" fillId="17" borderId="53" xfId="6" applyFont="1" applyFill="1" applyBorder="1" applyAlignment="1">
      <alignment horizontal="center" vertical="center"/>
    </xf>
    <xf numFmtId="0" fontId="28" fillId="18" borderId="53" xfId="6" applyFont="1" applyFill="1" applyBorder="1" applyAlignment="1">
      <alignment horizontal="center" vertical="center" wrapText="1"/>
    </xf>
    <xf numFmtId="0" fontId="28" fillId="18" borderId="54" xfId="6" applyFont="1" applyFill="1" applyBorder="1" applyAlignment="1">
      <alignment horizontal="center" vertical="center" wrapText="1"/>
    </xf>
    <xf numFmtId="0" fontId="28" fillId="18" borderId="55" xfId="6" applyFont="1" applyFill="1" applyBorder="1" applyAlignment="1">
      <alignment horizontal="center" vertical="center" wrapText="1"/>
    </xf>
    <xf numFmtId="0" fontId="28" fillId="18" borderId="56" xfId="6" applyFont="1" applyFill="1" applyBorder="1" applyAlignment="1">
      <alignment horizontal="center" vertical="center" wrapText="1"/>
    </xf>
    <xf numFmtId="0" fontId="28" fillId="17" borderId="53" xfId="6" applyFont="1" applyFill="1" applyBorder="1" applyAlignment="1">
      <alignment horizontal="center" vertical="center" wrapText="1"/>
    </xf>
    <xf numFmtId="0" fontId="28" fillId="18" borderId="53" xfId="6" applyFont="1" applyFill="1" applyBorder="1" applyAlignment="1">
      <alignment horizontal="center" vertical="center"/>
    </xf>
    <xf numFmtId="0" fontId="29" fillId="0" borderId="53" xfId="7" applyBorder="1"/>
    <xf numFmtId="0" fontId="29" fillId="0" borderId="57" xfId="7" applyBorder="1" applyAlignment="1">
      <alignment horizontal="center"/>
    </xf>
    <xf numFmtId="0" fontId="29" fillId="0" borderId="58" xfId="7" applyBorder="1" applyAlignment="1">
      <alignment horizontal="center"/>
    </xf>
    <xf numFmtId="0" fontId="30" fillId="0" borderId="53" xfId="7" applyFont="1" applyBorder="1"/>
    <xf numFmtId="0" fontId="30" fillId="0" borderId="57" xfId="7" applyFont="1" applyBorder="1" applyAlignment="1">
      <alignment horizontal="center"/>
    </xf>
    <xf numFmtId="0" fontId="30" fillId="0" borderId="58" xfId="7" applyFont="1" applyBorder="1" applyAlignment="1">
      <alignment horizontal="center"/>
    </xf>
    <xf numFmtId="0" fontId="28" fillId="19" borderId="57" xfId="6" applyFont="1" applyFill="1" applyBorder="1" applyAlignment="1">
      <alignment horizontal="center" vertical="center" wrapText="1"/>
    </xf>
    <xf numFmtId="0" fontId="28" fillId="19" borderId="58" xfId="6" applyFont="1" applyFill="1" applyBorder="1" applyAlignment="1">
      <alignment horizontal="center" vertical="center" wrapText="1"/>
    </xf>
    <xf numFmtId="0" fontId="28" fillId="19" borderId="59" xfId="6" applyFont="1" applyFill="1" applyBorder="1" applyAlignment="1">
      <alignment horizontal="center" vertical="center" wrapText="1"/>
    </xf>
    <xf numFmtId="0" fontId="28" fillId="19" borderId="0" xfId="6" applyFont="1" applyFill="1" applyAlignment="1">
      <alignment horizontal="center" vertical="center" wrapText="1"/>
    </xf>
    <xf numFmtId="0" fontId="28" fillId="19" borderId="60" xfId="6" applyFont="1" applyFill="1" applyBorder="1" applyAlignment="1">
      <alignment horizontal="center" vertical="center" wrapText="1"/>
    </xf>
    <xf numFmtId="0" fontId="28" fillId="19" borderId="53" xfId="6" applyFont="1" applyFill="1" applyBorder="1" applyAlignment="1">
      <alignment horizontal="center" vertical="center" wrapText="1"/>
    </xf>
  </cellXfs>
  <cellStyles count="8">
    <cellStyle name="Excel Built-in Normal" xfId="7" xr:uid="{A8DAAA85-B8B7-478F-A034-069ED69E4550}"/>
    <cellStyle name="Moeda" xfId="2" builtinId="4"/>
    <cellStyle name="Moeda 2" xfId="5" xr:uid="{47CAD723-0B7D-4A45-A760-51FAD163F01C}"/>
    <cellStyle name="Normal" xfId="0" builtinId="0"/>
    <cellStyle name="Normal 2" xfId="6" xr:uid="{D3DACB23-ABCD-4718-AAF1-E80CB2365DDD}"/>
    <cellStyle name="Porcentagem" xfId="3" builtinId="5"/>
    <cellStyle name="Vírgula" xfId="1" builtinId="3"/>
    <cellStyle name="Vírgula 2" xfId="4" xr:uid="{1E389A22-6D83-478F-824D-6EC4EE5DFBC0}"/>
  </cellStyles>
  <dxfs count="7">
    <dxf>
      <font>
        <b val="0"/>
        <i val="0"/>
        <strike val="0"/>
        <condense val="0"/>
        <extend val="0"/>
        <outline val="0"/>
        <shadow val="0"/>
        <u val="none"/>
        <vertAlign val="baseline"/>
        <sz val="11"/>
        <color theme="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scheme val="minor"/>
      </font>
    </dxf>
    <dxf>
      <border outline="0">
        <bottom style="thin">
          <color indexed="64"/>
        </bottom>
      </border>
    </dxf>
    <dxf>
      <font>
        <strike val="0"/>
        <outline val="0"/>
        <shadow val="0"/>
        <u val="none"/>
        <vertAlign val="baseline"/>
        <sz val="1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5C2FF"/>
      <color rgb="FF4A4B4D"/>
      <color rgb="FF9FDAED"/>
      <color rgb="FF999A9D"/>
      <color rgb="FFC2E8F4"/>
      <color rgb="FF0CA4D3"/>
      <color rgb="FF19FBE0"/>
      <color rgb="FF41A7D4"/>
      <color rgb="FFC0C0C0"/>
      <color rgb="FF70B9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121920</xdr:rowOff>
    </xdr:from>
    <xdr:to>
      <xdr:col>1</xdr:col>
      <xdr:colOff>1136438</xdr:colOff>
      <xdr:row>3</xdr:row>
      <xdr:rowOff>132715</xdr:rowOff>
    </xdr:to>
    <xdr:pic>
      <xdr:nvPicPr>
        <xdr:cNvPr id="2" name="Imagem 1">
          <a:extLst>
            <a:ext uri="{FF2B5EF4-FFF2-40B4-BE49-F238E27FC236}">
              <a16:creationId xmlns:a16="http://schemas.microsoft.com/office/drawing/2014/main" id="{163B894A-3608-4032-A9CA-076F2FD7B5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121920"/>
          <a:ext cx="2309283" cy="559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245745</xdr:colOff>
      <xdr:row>3</xdr:row>
      <xdr:rowOff>160020</xdr:rowOff>
    </xdr:from>
    <xdr:to>
      <xdr:col>1</xdr:col>
      <xdr:colOff>2199580</xdr:colOff>
      <xdr:row>6</xdr:row>
      <xdr:rowOff>142240</xdr:rowOff>
    </xdr:to>
    <xdr:pic>
      <xdr:nvPicPr>
        <xdr:cNvPr id="2" name="Imagem 1">
          <a:extLst>
            <a:ext uri="{FF2B5EF4-FFF2-40B4-BE49-F238E27FC236}">
              <a16:creationId xmlns:a16="http://schemas.microsoft.com/office/drawing/2014/main" id="{802A2995-A735-4F02-A4BE-B709BE0A69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745" y="721995"/>
          <a:ext cx="23050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ulia da Rosa - Afianci Global Networking" id="{43D62306-270E-4CC7-B97F-B526F2797FB3}" userId="37c708a31c4ac14d"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I3:J153" totalsRowShown="0" headerRowDxfId="6" dataDxfId="4" headerRowBorderDxfId="5" tableBorderDxfId="3" totalsRowBorderDxfId="2">
  <autoFilter ref="I3:J153" xr:uid="{00000000-0009-0000-0100-000001000000}"/>
  <tableColumns count="2">
    <tableColumn id="1" xr3:uid="{00000000-0010-0000-0000-000001000000}" name="Adição" dataDxfId="1"/>
    <tableColumn id="2" xr3:uid="{00000000-0010-0000-0000-000002000000}" name="Valor na DI" dataDxfId="0" dataCellStyle="Moeda"/>
  </tableColumns>
  <tableStyleInfo name="TableStyleLight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9" dT="2023-03-21T12:32:19.76" personId="{43D62306-270E-4CC7-B97F-B526F2797FB3}" id="{AA243DBB-2752-4463-9BA2-7A12963C8424}">
    <text>Inserir cálculo total do item em dólar</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0"/>
  <sheetViews>
    <sheetView showGridLines="0" topLeftCell="A15" workbookViewId="0">
      <selection activeCell="O23" sqref="O23"/>
    </sheetView>
  </sheetViews>
  <sheetFormatPr defaultColWidth="8.77734375" defaultRowHeight="14.4" x14ac:dyDescent="0.3"/>
  <cols>
    <col min="2" max="2" width="14" bestFit="1" customWidth="1"/>
    <col min="10" max="10" width="18.77734375" bestFit="1" customWidth="1"/>
  </cols>
  <sheetData>
    <row r="1" spans="1:20" ht="15" thickBot="1" x14ac:dyDescent="0.35">
      <c r="A1" t="s">
        <v>35</v>
      </c>
      <c r="I1" s="2" t="s">
        <v>71</v>
      </c>
      <c r="J1" s="3">
        <v>115.67</v>
      </c>
    </row>
    <row r="2" spans="1:20" x14ac:dyDescent="0.3">
      <c r="A2" t="s">
        <v>36</v>
      </c>
      <c r="E2" t="s">
        <v>20</v>
      </c>
      <c r="G2" t="s">
        <v>21</v>
      </c>
      <c r="I2" s="4"/>
      <c r="J2" s="4"/>
    </row>
    <row r="3" spans="1:20" x14ac:dyDescent="0.3">
      <c r="A3" t="s">
        <v>98</v>
      </c>
      <c r="E3" t="s">
        <v>30</v>
      </c>
      <c r="G3" t="s">
        <v>204</v>
      </c>
      <c r="I3" s="5" t="s">
        <v>72</v>
      </c>
      <c r="J3" s="6" t="s">
        <v>73</v>
      </c>
    </row>
    <row r="4" spans="1:20" x14ac:dyDescent="0.3">
      <c r="E4" t="s">
        <v>31</v>
      </c>
      <c r="G4" t="s">
        <v>22</v>
      </c>
      <c r="I4" s="7">
        <v>1</v>
      </c>
      <c r="J4" s="8">
        <v>154.23000000000002</v>
      </c>
      <c r="M4" s="45">
        <v>1</v>
      </c>
      <c r="O4" t="s">
        <v>113</v>
      </c>
    </row>
    <row r="5" spans="1:20" x14ac:dyDescent="0.3">
      <c r="A5" t="s">
        <v>83</v>
      </c>
      <c r="E5" t="s">
        <v>15</v>
      </c>
      <c r="G5" t="s">
        <v>32</v>
      </c>
      <c r="I5" s="7">
        <v>2</v>
      </c>
      <c r="J5" s="8">
        <v>192.79000000000002</v>
      </c>
      <c r="M5" s="45">
        <v>0.9</v>
      </c>
      <c r="O5" t="s">
        <v>114</v>
      </c>
    </row>
    <row r="6" spans="1:20" x14ac:dyDescent="0.3">
      <c r="A6" t="s">
        <v>84</v>
      </c>
      <c r="G6" t="s">
        <v>14</v>
      </c>
      <c r="I6" s="7">
        <v>3</v>
      </c>
      <c r="J6" s="8">
        <v>223.64000000000001</v>
      </c>
      <c r="M6" s="45">
        <v>0.8</v>
      </c>
      <c r="O6" t="s">
        <v>115</v>
      </c>
    </row>
    <row r="7" spans="1:20" x14ac:dyDescent="0.3">
      <c r="A7" t="s">
        <v>88</v>
      </c>
      <c r="G7" t="s">
        <v>23</v>
      </c>
      <c r="I7" s="7">
        <v>4</v>
      </c>
      <c r="J7" s="8">
        <v>254.49</v>
      </c>
      <c r="M7" s="45">
        <v>0.7</v>
      </c>
      <c r="T7" t="s">
        <v>246</v>
      </c>
    </row>
    <row r="8" spans="1:20" x14ac:dyDescent="0.3">
      <c r="G8" t="s">
        <v>24</v>
      </c>
      <c r="I8" s="7">
        <v>5</v>
      </c>
      <c r="J8" s="8">
        <v>285.34000000000003</v>
      </c>
      <c r="M8" s="45">
        <v>0.6</v>
      </c>
      <c r="T8" t="s">
        <v>259</v>
      </c>
    </row>
    <row r="9" spans="1:20" x14ac:dyDescent="0.3">
      <c r="A9" t="s">
        <v>85</v>
      </c>
      <c r="G9" t="s">
        <v>25</v>
      </c>
      <c r="I9" s="7">
        <v>6</v>
      </c>
      <c r="J9" s="103">
        <v>308.48</v>
      </c>
      <c r="M9" s="45">
        <v>0.5</v>
      </c>
      <c r="T9" t="s">
        <v>262</v>
      </c>
    </row>
    <row r="10" spans="1:20" x14ac:dyDescent="0.3">
      <c r="A10" t="s">
        <v>86</v>
      </c>
      <c r="G10" t="s">
        <v>26</v>
      </c>
      <c r="I10" s="7">
        <v>7</v>
      </c>
      <c r="J10" s="103">
        <v>331.62</v>
      </c>
      <c r="M10" s="45">
        <v>0.4</v>
      </c>
      <c r="T10" t="s">
        <v>243</v>
      </c>
    </row>
    <row r="11" spans="1:20" x14ac:dyDescent="0.3">
      <c r="A11" t="s">
        <v>87</v>
      </c>
      <c r="G11" t="s">
        <v>27</v>
      </c>
      <c r="I11" s="7">
        <v>8</v>
      </c>
      <c r="J11" s="103">
        <v>354.76</v>
      </c>
      <c r="M11" s="45">
        <v>0.3</v>
      </c>
      <c r="T11" t="s">
        <v>245</v>
      </c>
    </row>
    <row r="12" spans="1:20" x14ac:dyDescent="0.3">
      <c r="G12" t="s">
        <v>28</v>
      </c>
      <c r="I12" s="7">
        <v>9</v>
      </c>
      <c r="J12" s="103">
        <v>377.9</v>
      </c>
      <c r="M12" s="45">
        <v>0.2</v>
      </c>
      <c r="T12" t="s">
        <v>247</v>
      </c>
    </row>
    <row r="13" spans="1:20" x14ac:dyDescent="0.3">
      <c r="G13" t="s">
        <v>29</v>
      </c>
      <c r="I13" s="7">
        <v>10</v>
      </c>
      <c r="J13" s="8">
        <v>401.03999999999996</v>
      </c>
      <c r="M13" s="45">
        <v>0.1</v>
      </c>
      <c r="R13">
        <v>1</v>
      </c>
      <c r="T13" t="s">
        <v>244</v>
      </c>
    </row>
    <row r="14" spans="1:20" x14ac:dyDescent="0.3">
      <c r="A14" t="s">
        <v>35</v>
      </c>
      <c r="I14" s="7">
        <v>11</v>
      </c>
      <c r="J14" s="8">
        <v>416.46</v>
      </c>
      <c r="R14">
        <v>2</v>
      </c>
      <c r="T14" t="s">
        <v>260</v>
      </c>
    </row>
    <row r="15" spans="1:20" x14ac:dyDescent="0.3">
      <c r="A15" t="s">
        <v>36</v>
      </c>
      <c r="I15" s="7">
        <v>12</v>
      </c>
      <c r="J15" s="8">
        <v>431.88</v>
      </c>
      <c r="R15">
        <v>3</v>
      </c>
      <c r="T15" t="s">
        <v>348</v>
      </c>
    </row>
    <row r="16" spans="1:20" x14ac:dyDescent="0.3">
      <c r="I16" s="7">
        <v>13</v>
      </c>
      <c r="J16" s="8">
        <v>447.3</v>
      </c>
      <c r="R16">
        <v>4</v>
      </c>
    </row>
    <row r="17" spans="1:18" x14ac:dyDescent="0.3">
      <c r="I17" s="7">
        <v>14</v>
      </c>
      <c r="J17" s="8">
        <v>462.72</v>
      </c>
      <c r="R17">
        <v>5</v>
      </c>
    </row>
    <row r="18" spans="1:18" ht="15.6" x14ac:dyDescent="0.3">
      <c r="E18" s="1" t="s">
        <v>19</v>
      </c>
      <c r="I18" s="7">
        <v>15</v>
      </c>
      <c r="J18" s="8">
        <v>478.14000000000004</v>
      </c>
      <c r="O18" t="s">
        <v>199</v>
      </c>
      <c r="R18">
        <v>6</v>
      </c>
    </row>
    <row r="19" spans="1:18" x14ac:dyDescent="0.3">
      <c r="A19" t="s">
        <v>79</v>
      </c>
      <c r="I19" s="7">
        <v>16</v>
      </c>
      <c r="J19" s="8">
        <v>493.56000000000006</v>
      </c>
      <c r="O19" s="45">
        <v>0.12</v>
      </c>
      <c r="R19">
        <v>7</v>
      </c>
    </row>
    <row r="20" spans="1:18" x14ac:dyDescent="0.3">
      <c r="A20" t="s">
        <v>78</v>
      </c>
      <c r="E20" s="25" t="s">
        <v>194</v>
      </c>
      <c r="I20" s="7">
        <v>17</v>
      </c>
      <c r="J20" s="8">
        <v>508.98000000000008</v>
      </c>
      <c r="O20" s="45">
        <v>0.08</v>
      </c>
      <c r="R20">
        <v>8</v>
      </c>
    </row>
    <row r="21" spans="1:18" x14ac:dyDescent="0.3">
      <c r="A21" t="s">
        <v>77</v>
      </c>
      <c r="E21" s="25" t="s">
        <v>195</v>
      </c>
      <c r="I21" s="7">
        <v>18</v>
      </c>
      <c r="J21" s="8">
        <v>524.40000000000009</v>
      </c>
      <c r="O21" s="45">
        <v>0.04</v>
      </c>
      <c r="R21">
        <v>9</v>
      </c>
    </row>
    <row r="22" spans="1:18" x14ac:dyDescent="0.3">
      <c r="E22" s="25" t="s">
        <v>196</v>
      </c>
      <c r="F22" s="42"/>
      <c r="I22" s="7">
        <v>19</v>
      </c>
      <c r="J22" s="8">
        <v>539.82000000000005</v>
      </c>
      <c r="M22" s="27"/>
      <c r="O22" s="45">
        <v>0</v>
      </c>
      <c r="R22">
        <v>10</v>
      </c>
    </row>
    <row r="23" spans="1:18" x14ac:dyDescent="0.3">
      <c r="E23" s="25" t="s">
        <v>197</v>
      </c>
      <c r="F23" s="42"/>
      <c r="I23" s="7">
        <v>20</v>
      </c>
      <c r="J23" s="8">
        <v>555.24</v>
      </c>
      <c r="M23" s="27"/>
      <c r="O23" t="s">
        <v>242</v>
      </c>
      <c r="R23">
        <v>11</v>
      </c>
    </row>
    <row r="24" spans="1:18" x14ac:dyDescent="0.3">
      <c r="A24" t="s">
        <v>96</v>
      </c>
      <c r="E24" s="41"/>
      <c r="F24" s="42"/>
      <c r="I24" s="7">
        <v>21</v>
      </c>
      <c r="J24" s="8">
        <v>562.95000000000005</v>
      </c>
      <c r="M24" s="27"/>
      <c r="O24" t="s">
        <v>351</v>
      </c>
      <c r="R24">
        <v>12</v>
      </c>
    </row>
    <row r="25" spans="1:18" x14ac:dyDescent="0.3">
      <c r="A25" t="s">
        <v>97</v>
      </c>
      <c r="E25" s="41"/>
      <c r="F25" s="42"/>
      <c r="I25" s="7">
        <v>22</v>
      </c>
      <c r="J25" s="8">
        <v>570.66000000000008</v>
      </c>
      <c r="M25" s="27"/>
      <c r="R25">
        <v>13</v>
      </c>
    </row>
    <row r="26" spans="1:18" x14ac:dyDescent="0.3">
      <c r="A26" t="s">
        <v>153</v>
      </c>
      <c r="E26" s="41"/>
      <c r="F26" s="42"/>
      <c r="I26" s="7">
        <v>23</v>
      </c>
      <c r="J26" s="8">
        <v>578.37000000000012</v>
      </c>
      <c r="M26" s="27"/>
      <c r="R26">
        <v>14</v>
      </c>
    </row>
    <row r="27" spans="1:18" x14ac:dyDescent="0.3">
      <c r="E27" s="41"/>
      <c r="F27" s="42"/>
      <c r="I27" s="7">
        <v>24</v>
      </c>
      <c r="J27" s="8">
        <v>586.08000000000015</v>
      </c>
      <c r="M27" s="27"/>
      <c r="R27">
        <v>15</v>
      </c>
    </row>
    <row r="28" spans="1:18" x14ac:dyDescent="0.3">
      <c r="E28" s="41"/>
      <c r="F28" s="42"/>
      <c r="I28" s="7">
        <v>25</v>
      </c>
      <c r="J28" s="8">
        <v>593.79000000000019</v>
      </c>
    </row>
    <row r="29" spans="1:18" x14ac:dyDescent="0.3">
      <c r="A29" t="s">
        <v>171</v>
      </c>
      <c r="E29" s="41"/>
      <c r="F29" s="42"/>
      <c r="I29" s="7">
        <v>26</v>
      </c>
      <c r="J29" s="8">
        <v>601.50000000000023</v>
      </c>
    </row>
    <row r="30" spans="1:18" x14ac:dyDescent="0.3">
      <c r="A30" t="s">
        <v>172</v>
      </c>
      <c r="E30" s="41"/>
      <c r="F30" s="42"/>
      <c r="I30" s="7">
        <v>27</v>
      </c>
      <c r="J30" s="8">
        <v>609.21000000000026</v>
      </c>
    </row>
    <row r="31" spans="1:18" x14ac:dyDescent="0.3">
      <c r="E31" s="41"/>
      <c r="F31" s="42"/>
      <c r="I31" s="7">
        <v>28</v>
      </c>
      <c r="J31" s="8">
        <v>616.9200000000003</v>
      </c>
    </row>
    <row r="32" spans="1:18" x14ac:dyDescent="0.3">
      <c r="E32" s="41"/>
      <c r="F32" s="42"/>
      <c r="I32" s="7">
        <v>29</v>
      </c>
      <c r="J32" s="8">
        <v>624.63000000000034</v>
      </c>
    </row>
    <row r="33" spans="5:10" x14ac:dyDescent="0.3">
      <c r="E33" s="41"/>
      <c r="F33" s="42"/>
      <c r="I33" s="7">
        <v>30</v>
      </c>
      <c r="J33" s="8">
        <v>632.34000000000037</v>
      </c>
    </row>
    <row r="34" spans="5:10" x14ac:dyDescent="0.3">
      <c r="E34" s="41"/>
      <c r="F34" s="42"/>
      <c r="I34" s="7">
        <v>31</v>
      </c>
      <c r="J34" s="8">
        <v>640.05000000000041</v>
      </c>
    </row>
    <row r="35" spans="5:10" x14ac:dyDescent="0.3">
      <c r="E35" s="41"/>
      <c r="F35" s="42"/>
      <c r="I35" s="7">
        <v>32</v>
      </c>
      <c r="J35" s="8">
        <v>647.76000000000045</v>
      </c>
    </row>
    <row r="36" spans="5:10" x14ac:dyDescent="0.3">
      <c r="E36" s="41"/>
      <c r="F36" s="42"/>
      <c r="I36" s="7">
        <v>33</v>
      </c>
      <c r="J36" s="8">
        <v>655.47000000000048</v>
      </c>
    </row>
    <row r="37" spans="5:10" x14ac:dyDescent="0.3">
      <c r="E37" s="41"/>
      <c r="F37" s="42"/>
      <c r="I37" s="7">
        <v>34</v>
      </c>
      <c r="J37" s="8">
        <v>663.18000000000052</v>
      </c>
    </row>
    <row r="38" spans="5:10" x14ac:dyDescent="0.3">
      <c r="E38" s="41"/>
      <c r="F38" s="42"/>
      <c r="I38" s="7">
        <v>35</v>
      </c>
      <c r="J38" s="8">
        <v>670.89000000000055</v>
      </c>
    </row>
    <row r="39" spans="5:10" x14ac:dyDescent="0.3">
      <c r="E39" s="41"/>
      <c r="F39" s="42"/>
      <c r="I39" s="7">
        <v>36</v>
      </c>
      <c r="J39" s="8">
        <v>678.60000000000059</v>
      </c>
    </row>
    <row r="40" spans="5:10" x14ac:dyDescent="0.3">
      <c r="E40" s="41"/>
      <c r="F40" s="42"/>
      <c r="I40" s="7">
        <v>37</v>
      </c>
      <c r="J40" s="8">
        <v>686.31000000000063</v>
      </c>
    </row>
    <row r="41" spans="5:10" x14ac:dyDescent="0.3">
      <c r="E41" s="41"/>
      <c r="F41" s="42"/>
      <c r="I41" s="7">
        <v>38</v>
      </c>
      <c r="J41" s="8">
        <v>694.02000000000066</v>
      </c>
    </row>
    <row r="42" spans="5:10" x14ac:dyDescent="0.3">
      <c r="E42" s="41"/>
      <c r="F42" s="42"/>
      <c r="I42" s="7">
        <v>39</v>
      </c>
      <c r="J42" s="8">
        <v>701.7300000000007</v>
      </c>
    </row>
    <row r="43" spans="5:10" x14ac:dyDescent="0.3">
      <c r="E43" s="41"/>
      <c r="F43" s="42"/>
      <c r="I43" s="7">
        <v>40</v>
      </c>
      <c r="J43" s="8">
        <v>709.44000000000074</v>
      </c>
    </row>
    <row r="44" spans="5:10" x14ac:dyDescent="0.3">
      <c r="E44" s="41"/>
      <c r="F44" s="43"/>
      <c r="I44" s="7">
        <v>41</v>
      </c>
      <c r="J44" s="8">
        <v>717.15000000000077</v>
      </c>
    </row>
    <row r="45" spans="5:10" x14ac:dyDescent="0.3">
      <c r="E45" s="41"/>
      <c r="F45" s="42"/>
      <c r="I45" s="7">
        <v>42</v>
      </c>
      <c r="J45" s="8">
        <v>724.86000000000081</v>
      </c>
    </row>
    <row r="46" spans="5:10" x14ac:dyDescent="0.3">
      <c r="E46" s="41"/>
      <c r="F46" s="42"/>
      <c r="I46" s="7">
        <v>43</v>
      </c>
      <c r="J46" s="8">
        <v>732.57000000000085</v>
      </c>
    </row>
    <row r="47" spans="5:10" x14ac:dyDescent="0.3">
      <c r="E47" s="41"/>
      <c r="F47" s="42"/>
      <c r="I47" s="7">
        <v>44</v>
      </c>
      <c r="J47" s="8">
        <v>740.28000000000088</v>
      </c>
    </row>
    <row r="48" spans="5:10" x14ac:dyDescent="0.3">
      <c r="E48" s="41"/>
      <c r="F48" s="42"/>
      <c r="I48" s="7">
        <v>45</v>
      </c>
      <c r="J48" s="8">
        <v>747.99000000000092</v>
      </c>
    </row>
    <row r="49" spans="5:10" x14ac:dyDescent="0.3">
      <c r="E49" s="44"/>
      <c r="F49" s="44"/>
      <c r="I49" s="7">
        <v>46</v>
      </c>
      <c r="J49" s="8">
        <v>755.70000000000095</v>
      </c>
    </row>
    <row r="50" spans="5:10" x14ac:dyDescent="0.3">
      <c r="E50" s="44"/>
      <c r="F50" s="44"/>
      <c r="I50" s="7">
        <v>47</v>
      </c>
      <c r="J50" s="8">
        <v>763.41000000000099</v>
      </c>
    </row>
    <row r="51" spans="5:10" x14ac:dyDescent="0.3">
      <c r="I51" s="7">
        <v>48</v>
      </c>
      <c r="J51" s="8">
        <v>771.12000000000103</v>
      </c>
    </row>
    <row r="52" spans="5:10" x14ac:dyDescent="0.3">
      <c r="I52" s="7">
        <v>49</v>
      </c>
      <c r="J52" s="8">
        <v>778.83000000000106</v>
      </c>
    </row>
    <row r="53" spans="5:10" x14ac:dyDescent="0.3">
      <c r="I53" s="7">
        <v>50</v>
      </c>
      <c r="J53" s="8">
        <v>786.5400000000011</v>
      </c>
    </row>
    <row r="54" spans="5:10" x14ac:dyDescent="0.3">
      <c r="I54" s="7">
        <v>51</v>
      </c>
      <c r="J54" s="8">
        <v>790.40000000000111</v>
      </c>
    </row>
    <row r="55" spans="5:10" x14ac:dyDescent="0.3">
      <c r="I55" s="7">
        <v>52</v>
      </c>
      <c r="J55" s="8">
        <v>794.26000000000113</v>
      </c>
    </row>
    <row r="56" spans="5:10" x14ac:dyDescent="0.3">
      <c r="I56" s="7">
        <v>53</v>
      </c>
      <c r="J56" s="8">
        <v>798.12000000000114</v>
      </c>
    </row>
    <row r="57" spans="5:10" x14ac:dyDescent="0.3">
      <c r="I57" s="7">
        <v>54</v>
      </c>
      <c r="J57" s="8">
        <v>801.98000000000116</v>
      </c>
    </row>
    <row r="58" spans="5:10" x14ac:dyDescent="0.3">
      <c r="I58" s="7">
        <v>55</v>
      </c>
      <c r="J58" s="8">
        <v>805.84000000000117</v>
      </c>
    </row>
    <row r="59" spans="5:10" x14ac:dyDescent="0.3">
      <c r="I59" s="7">
        <v>56</v>
      </c>
      <c r="J59" s="8">
        <v>809.70000000000118</v>
      </c>
    </row>
    <row r="60" spans="5:10" x14ac:dyDescent="0.3">
      <c r="I60" s="7">
        <v>57</v>
      </c>
      <c r="J60" s="8">
        <v>813.5600000000012</v>
      </c>
    </row>
    <row r="61" spans="5:10" x14ac:dyDescent="0.3">
      <c r="I61" s="7">
        <v>58</v>
      </c>
      <c r="J61" s="8">
        <v>817.42000000000121</v>
      </c>
    </row>
    <row r="62" spans="5:10" x14ac:dyDescent="0.3">
      <c r="I62" s="7">
        <v>59</v>
      </c>
      <c r="J62" s="8">
        <v>821.28000000000122</v>
      </c>
    </row>
    <row r="63" spans="5:10" x14ac:dyDescent="0.3">
      <c r="I63" s="7">
        <v>60</v>
      </c>
      <c r="J63" s="8">
        <v>825.14000000000124</v>
      </c>
    </row>
    <row r="64" spans="5:10" x14ac:dyDescent="0.3">
      <c r="I64" s="7">
        <v>61</v>
      </c>
      <c r="J64" s="8">
        <v>829.00000000000125</v>
      </c>
    </row>
    <row r="65" spans="9:10" x14ac:dyDescent="0.3">
      <c r="I65" s="7">
        <v>62</v>
      </c>
      <c r="J65" s="8">
        <v>832.86000000000126</v>
      </c>
    </row>
    <row r="66" spans="9:10" x14ac:dyDescent="0.3">
      <c r="I66" s="7">
        <v>63</v>
      </c>
      <c r="J66" s="8">
        <v>836.72000000000128</v>
      </c>
    </row>
    <row r="67" spans="9:10" x14ac:dyDescent="0.3">
      <c r="I67" s="7">
        <v>64</v>
      </c>
      <c r="J67" s="8">
        <v>840.58000000000129</v>
      </c>
    </row>
    <row r="68" spans="9:10" x14ac:dyDescent="0.3">
      <c r="I68" s="7">
        <v>65</v>
      </c>
      <c r="J68" s="8">
        <v>844.44000000000131</v>
      </c>
    </row>
    <row r="69" spans="9:10" x14ac:dyDescent="0.3">
      <c r="I69" s="7">
        <v>66</v>
      </c>
      <c r="J69" s="8">
        <v>848.30000000000132</v>
      </c>
    </row>
    <row r="70" spans="9:10" x14ac:dyDescent="0.3">
      <c r="I70" s="7">
        <v>67</v>
      </c>
      <c r="J70" s="8">
        <v>852.16000000000133</v>
      </c>
    </row>
    <row r="71" spans="9:10" x14ac:dyDescent="0.3">
      <c r="I71" s="7">
        <v>68</v>
      </c>
      <c r="J71" s="8">
        <v>856.02000000000135</v>
      </c>
    </row>
    <row r="72" spans="9:10" x14ac:dyDescent="0.3">
      <c r="I72" s="7">
        <v>69</v>
      </c>
      <c r="J72" s="8">
        <v>859.88000000000136</v>
      </c>
    </row>
    <row r="73" spans="9:10" x14ac:dyDescent="0.3">
      <c r="I73" s="7">
        <v>70</v>
      </c>
      <c r="J73" s="8">
        <v>863.74000000000137</v>
      </c>
    </row>
    <row r="74" spans="9:10" x14ac:dyDescent="0.3">
      <c r="I74" s="7">
        <v>71</v>
      </c>
      <c r="J74" s="8">
        <v>867.60000000000139</v>
      </c>
    </row>
    <row r="75" spans="9:10" x14ac:dyDescent="0.3">
      <c r="I75" s="7">
        <v>72</v>
      </c>
      <c r="J75" s="8">
        <v>871.4600000000014</v>
      </c>
    </row>
    <row r="76" spans="9:10" x14ac:dyDescent="0.3">
      <c r="I76" s="7">
        <v>73</v>
      </c>
      <c r="J76" s="8">
        <v>875.32000000000141</v>
      </c>
    </row>
    <row r="77" spans="9:10" x14ac:dyDescent="0.3">
      <c r="I77" s="7">
        <v>74</v>
      </c>
      <c r="J77" s="8">
        <v>879.18000000000143</v>
      </c>
    </row>
    <row r="78" spans="9:10" x14ac:dyDescent="0.3">
      <c r="I78" s="7">
        <v>75</v>
      </c>
      <c r="J78" s="8">
        <v>883.04000000000144</v>
      </c>
    </row>
    <row r="79" spans="9:10" x14ac:dyDescent="0.3">
      <c r="I79" s="7">
        <v>76</v>
      </c>
      <c r="J79" s="8">
        <v>886.90000000000146</v>
      </c>
    </row>
    <row r="80" spans="9:10" x14ac:dyDescent="0.3">
      <c r="I80" s="7">
        <v>77</v>
      </c>
      <c r="J80" s="8">
        <v>890.76000000000147</v>
      </c>
    </row>
    <row r="81" spans="9:10" x14ac:dyDescent="0.3">
      <c r="I81" s="7">
        <v>78</v>
      </c>
      <c r="J81" s="8">
        <v>894.62000000000148</v>
      </c>
    </row>
    <row r="82" spans="9:10" x14ac:dyDescent="0.3">
      <c r="I82" s="7">
        <v>79</v>
      </c>
      <c r="J82" s="8">
        <v>898.4800000000015</v>
      </c>
    </row>
    <row r="83" spans="9:10" x14ac:dyDescent="0.3">
      <c r="I83" s="7">
        <v>80</v>
      </c>
      <c r="J83" s="8">
        <v>902.34000000000151</v>
      </c>
    </row>
    <row r="84" spans="9:10" x14ac:dyDescent="0.3">
      <c r="I84" s="7">
        <v>81</v>
      </c>
      <c r="J84" s="8">
        <v>906.20000000000152</v>
      </c>
    </row>
    <row r="85" spans="9:10" x14ac:dyDescent="0.3">
      <c r="I85" s="7">
        <v>82</v>
      </c>
      <c r="J85" s="8">
        <v>910.06000000000154</v>
      </c>
    </row>
    <row r="86" spans="9:10" x14ac:dyDescent="0.3">
      <c r="I86" s="7">
        <v>83</v>
      </c>
      <c r="J86" s="8">
        <v>913.92000000000155</v>
      </c>
    </row>
    <row r="87" spans="9:10" x14ac:dyDescent="0.3">
      <c r="I87" s="7">
        <v>84</v>
      </c>
      <c r="J87" s="8">
        <v>917.78000000000156</v>
      </c>
    </row>
    <row r="88" spans="9:10" x14ac:dyDescent="0.3">
      <c r="I88" s="7">
        <v>85</v>
      </c>
      <c r="J88" s="8">
        <v>921.64000000000158</v>
      </c>
    </row>
    <row r="89" spans="9:10" x14ac:dyDescent="0.3">
      <c r="I89" s="7">
        <v>86</v>
      </c>
      <c r="J89" s="8">
        <v>925.50000000000159</v>
      </c>
    </row>
    <row r="90" spans="9:10" x14ac:dyDescent="0.3">
      <c r="I90" s="7">
        <v>87</v>
      </c>
      <c r="J90" s="8">
        <v>929.36000000000161</v>
      </c>
    </row>
    <row r="91" spans="9:10" x14ac:dyDescent="0.3">
      <c r="I91" s="7">
        <v>88</v>
      </c>
      <c r="J91" s="8">
        <v>933.22000000000162</v>
      </c>
    </row>
    <row r="92" spans="9:10" x14ac:dyDescent="0.3">
      <c r="I92" s="7">
        <v>89</v>
      </c>
      <c r="J92" s="8">
        <v>937.08000000000163</v>
      </c>
    </row>
    <row r="93" spans="9:10" x14ac:dyDescent="0.3">
      <c r="I93" s="7">
        <v>90</v>
      </c>
      <c r="J93" s="8">
        <v>940.94000000000165</v>
      </c>
    </row>
    <row r="94" spans="9:10" x14ac:dyDescent="0.3">
      <c r="I94" s="7">
        <v>91</v>
      </c>
      <c r="J94" s="8">
        <v>944.80000000000166</v>
      </c>
    </row>
    <row r="95" spans="9:10" x14ac:dyDescent="0.3">
      <c r="I95" s="7">
        <v>92</v>
      </c>
      <c r="J95" s="8">
        <v>948.66000000000167</v>
      </c>
    </row>
    <row r="96" spans="9:10" x14ac:dyDescent="0.3">
      <c r="I96" s="7">
        <v>93</v>
      </c>
      <c r="J96" s="8">
        <v>952.52000000000169</v>
      </c>
    </row>
    <row r="97" spans="9:10" x14ac:dyDescent="0.3">
      <c r="I97" s="7">
        <v>94</v>
      </c>
      <c r="J97" s="8">
        <v>956.3800000000017</v>
      </c>
    </row>
    <row r="98" spans="9:10" x14ac:dyDescent="0.3">
      <c r="I98" s="7">
        <v>95</v>
      </c>
      <c r="J98" s="8">
        <v>960.24000000000171</v>
      </c>
    </row>
    <row r="99" spans="9:10" x14ac:dyDescent="0.3">
      <c r="I99" s="7">
        <v>96</v>
      </c>
      <c r="J99" s="8">
        <v>964.10000000000173</v>
      </c>
    </row>
    <row r="100" spans="9:10" x14ac:dyDescent="0.3">
      <c r="I100" s="7">
        <v>97</v>
      </c>
      <c r="J100" s="8">
        <v>967.96000000000174</v>
      </c>
    </row>
    <row r="101" spans="9:10" x14ac:dyDescent="0.3">
      <c r="I101" s="7">
        <v>98</v>
      </c>
      <c r="J101" s="8">
        <v>971.82000000000176</v>
      </c>
    </row>
    <row r="102" spans="9:10" x14ac:dyDescent="0.3">
      <c r="I102" s="7">
        <v>99</v>
      </c>
      <c r="J102" s="8">
        <v>975.68000000000177</v>
      </c>
    </row>
    <row r="103" spans="9:10" x14ac:dyDescent="0.3">
      <c r="I103" s="7">
        <v>100</v>
      </c>
      <c r="J103" s="8">
        <v>979.54000000000178</v>
      </c>
    </row>
    <row r="104" spans="9:10" x14ac:dyDescent="0.3">
      <c r="I104" s="7">
        <v>101</v>
      </c>
      <c r="J104" s="8">
        <v>983.4000000000018</v>
      </c>
    </row>
    <row r="105" spans="9:10" x14ac:dyDescent="0.3">
      <c r="I105" s="7">
        <v>102</v>
      </c>
      <c r="J105" s="8">
        <v>987.26000000000181</v>
      </c>
    </row>
    <row r="106" spans="9:10" x14ac:dyDescent="0.3">
      <c r="I106" s="7">
        <v>103</v>
      </c>
      <c r="J106" s="8">
        <v>991.12000000000182</v>
      </c>
    </row>
    <row r="107" spans="9:10" x14ac:dyDescent="0.3">
      <c r="I107" s="7">
        <v>104</v>
      </c>
      <c r="J107" s="8">
        <v>994.98000000000184</v>
      </c>
    </row>
    <row r="108" spans="9:10" x14ac:dyDescent="0.3">
      <c r="I108" s="7">
        <v>105</v>
      </c>
      <c r="J108" s="8">
        <v>998.84000000000185</v>
      </c>
    </row>
    <row r="109" spans="9:10" x14ac:dyDescent="0.3">
      <c r="I109" s="7">
        <v>106</v>
      </c>
      <c r="J109" s="8">
        <v>1002.7000000000019</v>
      </c>
    </row>
    <row r="110" spans="9:10" x14ac:dyDescent="0.3">
      <c r="I110" s="7">
        <v>107</v>
      </c>
      <c r="J110" s="8">
        <v>1006.5600000000019</v>
      </c>
    </row>
    <row r="111" spans="9:10" x14ac:dyDescent="0.3">
      <c r="I111" s="7">
        <v>108</v>
      </c>
      <c r="J111" s="8">
        <v>1010.4200000000019</v>
      </c>
    </row>
    <row r="112" spans="9:10" x14ac:dyDescent="0.3">
      <c r="I112" s="7">
        <v>109</v>
      </c>
      <c r="J112" s="8">
        <v>1014.2800000000019</v>
      </c>
    </row>
    <row r="113" spans="9:10" x14ac:dyDescent="0.3">
      <c r="I113" s="7">
        <v>110</v>
      </c>
      <c r="J113" s="8">
        <v>1018.1400000000019</v>
      </c>
    </row>
    <row r="114" spans="9:10" x14ac:dyDescent="0.3">
      <c r="I114" s="7">
        <v>111</v>
      </c>
      <c r="J114" s="8">
        <v>1022.0000000000019</v>
      </c>
    </row>
    <row r="115" spans="9:10" x14ac:dyDescent="0.3">
      <c r="I115" s="7">
        <v>112</v>
      </c>
      <c r="J115" s="8">
        <v>1025.8600000000019</v>
      </c>
    </row>
    <row r="116" spans="9:10" x14ac:dyDescent="0.3">
      <c r="I116" s="7">
        <v>113</v>
      </c>
      <c r="J116" s="8">
        <v>1029.7200000000018</v>
      </c>
    </row>
    <row r="117" spans="9:10" x14ac:dyDescent="0.3">
      <c r="I117" s="7">
        <v>114</v>
      </c>
      <c r="J117" s="8">
        <v>1033.5800000000017</v>
      </c>
    </row>
    <row r="118" spans="9:10" x14ac:dyDescent="0.3">
      <c r="I118" s="7">
        <v>115</v>
      </c>
      <c r="J118" s="8">
        <v>1037.4400000000016</v>
      </c>
    </row>
    <row r="119" spans="9:10" x14ac:dyDescent="0.3">
      <c r="I119" s="7">
        <v>116</v>
      </c>
      <c r="J119" s="8">
        <v>1041.3000000000015</v>
      </c>
    </row>
    <row r="120" spans="9:10" x14ac:dyDescent="0.3">
      <c r="I120" s="7">
        <v>117</v>
      </c>
      <c r="J120" s="8">
        <v>1045.1600000000014</v>
      </c>
    </row>
    <row r="121" spans="9:10" x14ac:dyDescent="0.3">
      <c r="I121" s="7">
        <v>118</v>
      </c>
      <c r="J121" s="8">
        <v>1049.0200000000013</v>
      </c>
    </row>
    <row r="122" spans="9:10" x14ac:dyDescent="0.3">
      <c r="I122" s="7">
        <v>119</v>
      </c>
      <c r="J122" s="8">
        <v>1052.8800000000012</v>
      </c>
    </row>
    <row r="123" spans="9:10" x14ac:dyDescent="0.3">
      <c r="I123" s="7">
        <v>120</v>
      </c>
      <c r="J123" s="8">
        <v>1056.7400000000011</v>
      </c>
    </row>
    <row r="124" spans="9:10" x14ac:dyDescent="0.3">
      <c r="I124" s="7">
        <v>121</v>
      </c>
      <c r="J124" s="8">
        <v>1060.600000000001</v>
      </c>
    </row>
    <row r="125" spans="9:10" x14ac:dyDescent="0.3">
      <c r="I125" s="7">
        <v>122</v>
      </c>
      <c r="J125" s="8">
        <v>1064.4600000000009</v>
      </c>
    </row>
    <row r="126" spans="9:10" x14ac:dyDescent="0.3">
      <c r="I126" s="7">
        <v>123</v>
      </c>
      <c r="J126" s="8">
        <v>1068.3200000000008</v>
      </c>
    </row>
    <row r="127" spans="9:10" x14ac:dyDescent="0.3">
      <c r="I127" s="7">
        <v>124</v>
      </c>
      <c r="J127" s="8">
        <v>1072.1800000000007</v>
      </c>
    </row>
    <row r="128" spans="9:10" x14ac:dyDescent="0.3">
      <c r="I128" s="7">
        <v>125</v>
      </c>
      <c r="J128" s="8">
        <v>1076.0400000000006</v>
      </c>
    </row>
    <row r="129" spans="9:10" x14ac:dyDescent="0.3">
      <c r="I129" s="7">
        <v>126</v>
      </c>
      <c r="J129" s="8">
        <v>1079.9000000000005</v>
      </c>
    </row>
    <row r="130" spans="9:10" x14ac:dyDescent="0.3">
      <c r="I130" s="7">
        <v>127</v>
      </c>
      <c r="J130" s="8">
        <v>1083.7600000000004</v>
      </c>
    </row>
    <row r="131" spans="9:10" x14ac:dyDescent="0.3">
      <c r="I131" s="7">
        <v>128</v>
      </c>
      <c r="J131" s="8">
        <v>1087.6200000000003</v>
      </c>
    </row>
    <row r="132" spans="9:10" x14ac:dyDescent="0.3">
      <c r="I132" s="7">
        <v>129</v>
      </c>
      <c r="J132" s="8">
        <v>1091.4800000000002</v>
      </c>
    </row>
    <row r="133" spans="9:10" x14ac:dyDescent="0.3">
      <c r="I133" s="7">
        <v>130</v>
      </c>
      <c r="J133" s="8">
        <v>1095.3400000000001</v>
      </c>
    </row>
    <row r="134" spans="9:10" x14ac:dyDescent="0.3">
      <c r="I134" s="7">
        <v>131</v>
      </c>
      <c r="J134" s="8">
        <v>1099.2</v>
      </c>
    </row>
    <row r="135" spans="9:10" x14ac:dyDescent="0.3">
      <c r="I135" s="7">
        <v>132</v>
      </c>
      <c r="J135" s="8">
        <v>1103.06</v>
      </c>
    </row>
    <row r="136" spans="9:10" x14ac:dyDescent="0.3">
      <c r="I136" s="7">
        <v>133</v>
      </c>
      <c r="J136" s="8">
        <v>1106.9199999999998</v>
      </c>
    </row>
    <row r="137" spans="9:10" x14ac:dyDescent="0.3">
      <c r="I137" s="7">
        <v>134</v>
      </c>
      <c r="J137" s="8">
        <v>1110.7799999999997</v>
      </c>
    </row>
    <row r="138" spans="9:10" x14ac:dyDescent="0.3">
      <c r="I138" s="7">
        <v>135</v>
      </c>
      <c r="J138" s="8">
        <v>1114.6399999999996</v>
      </c>
    </row>
    <row r="139" spans="9:10" x14ac:dyDescent="0.3">
      <c r="I139" s="7">
        <v>136</v>
      </c>
      <c r="J139" s="8">
        <v>1118.4999999999995</v>
      </c>
    </row>
    <row r="140" spans="9:10" x14ac:dyDescent="0.3">
      <c r="I140" s="7">
        <v>137</v>
      </c>
      <c r="J140" s="8">
        <v>1122.3599999999994</v>
      </c>
    </row>
    <row r="141" spans="9:10" x14ac:dyDescent="0.3">
      <c r="I141" s="7">
        <v>138</v>
      </c>
      <c r="J141" s="8">
        <v>1126.2199999999993</v>
      </c>
    </row>
    <row r="142" spans="9:10" x14ac:dyDescent="0.3">
      <c r="I142" s="7">
        <v>139</v>
      </c>
      <c r="J142" s="8">
        <v>1130.0799999999992</v>
      </c>
    </row>
    <row r="143" spans="9:10" x14ac:dyDescent="0.3">
      <c r="I143" s="7">
        <v>140</v>
      </c>
      <c r="J143" s="8">
        <v>1133.9399999999991</v>
      </c>
    </row>
    <row r="144" spans="9:10" x14ac:dyDescent="0.3">
      <c r="I144" s="7">
        <v>141</v>
      </c>
      <c r="J144" s="8">
        <v>1137.799999999999</v>
      </c>
    </row>
    <row r="145" spans="9:10" x14ac:dyDescent="0.3">
      <c r="I145" s="7">
        <v>142</v>
      </c>
      <c r="J145" s="8">
        <v>1141.6599999999989</v>
      </c>
    </row>
    <row r="146" spans="9:10" x14ac:dyDescent="0.3">
      <c r="I146" s="7">
        <v>143</v>
      </c>
      <c r="J146" s="8">
        <v>1145.5199999999988</v>
      </c>
    </row>
    <row r="147" spans="9:10" x14ac:dyDescent="0.3">
      <c r="I147" s="7">
        <v>144</v>
      </c>
      <c r="J147" s="8">
        <v>1149.3799999999987</v>
      </c>
    </row>
    <row r="148" spans="9:10" x14ac:dyDescent="0.3">
      <c r="I148" s="7">
        <v>145</v>
      </c>
      <c r="J148" s="8">
        <v>1153.2399999999986</v>
      </c>
    </row>
    <row r="149" spans="9:10" x14ac:dyDescent="0.3">
      <c r="I149" s="7">
        <v>146</v>
      </c>
      <c r="J149" s="8">
        <v>1157.0999999999985</v>
      </c>
    </row>
    <row r="150" spans="9:10" x14ac:dyDescent="0.3">
      <c r="I150" s="7">
        <v>147</v>
      </c>
      <c r="J150" s="8">
        <v>1160.9599999999984</v>
      </c>
    </row>
    <row r="151" spans="9:10" x14ac:dyDescent="0.3">
      <c r="I151" s="7">
        <v>148</v>
      </c>
      <c r="J151" s="8">
        <v>1164.8199999999983</v>
      </c>
    </row>
    <row r="152" spans="9:10" x14ac:dyDescent="0.3">
      <c r="I152" s="7">
        <v>149</v>
      </c>
      <c r="J152" s="8">
        <v>1168.6799999999982</v>
      </c>
    </row>
    <row r="153" spans="9:10" x14ac:dyDescent="0.3">
      <c r="I153" s="9">
        <v>150</v>
      </c>
      <c r="J153" s="10">
        <v>1172.5399999999981</v>
      </c>
    </row>
    <row r="167" spans="1:6" x14ac:dyDescent="0.3">
      <c r="B167" t="s">
        <v>149</v>
      </c>
    </row>
    <row r="168" spans="1:6" x14ac:dyDescent="0.3">
      <c r="B168" s="293" t="s">
        <v>147</v>
      </c>
      <c r="C168" s="293"/>
      <c r="D168" s="293"/>
      <c r="E168" s="293"/>
      <c r="F168" s="294" t="s">
        <v>148</v>
      </c>
    </row>
    <row r="169" spans="1:6" x14ac:dyDescent="0.3">
      <c r="A169" s="30" t="s">
        <v>117</v>
      </c>
      <c r="B169" s="291" t="s">
        <v>145</v>
      </c>
      <c r="C169" s="292"/>
      <c r="D169" s="291" t="s">
        <v>146</v>
      </c>
      <c r="E169" s="292"/>
      <c r="F169" s="294"/>
    </row>
    <row r="170" spans="1:6" x14ac:dyDescent="0.3">
      <c r="A170" s="46" t="s">
        <v>118</v>
      </c>
      <c r="B170" s="47">
        <v>7.0000000000000007E-2</v>
      </c>
      <c r="C170" s="48">
        <f>4.6%+0.4%</f>
        <v>0.05</v>
      </c>
      <c r="D170" s="50">
        <v>0.04</v>
      </c>
      <c r="E170" s="48">
        <f>2.6%+0.4%</f>
        <v>3.0000000000000002E-2</v>
      </c>
      <c r="F170" s="48">
        <v>0.19</v>
      </c>
    </row>
    <row r="171" spans="1:6" x14ac:dyDescent="0.3">
      <c r="A171" s="49" t="s">
        <v>119</v>
      </c>
      <c r="B171" s="50">
        <v>7.0000000000000007E-2</v>
      </c>
      <c r="C171" s="48">
        <f t="shared" ref="C171:C186" si="0">4.6%+0.4%</f>
        <v>0.05</v>
      </c>
      <c r="D171" s="50">
        <v>0.04</v>
      </c>
      <c r="E171" s="48">
        <f t="shared" ref="E171:E196" si="1">2.6%+0.4%</f>
        <v>3.0000000000000002E-2</v>
      </c>
      <c r="F171" s="48">
        <v>0.19</v>
      </c>
    </row>
    <row r="172" spans="1:6" x14ac:dyDescent="0.3">
      <c r="A172" s="49" t="s">
        <v>120</v>
      </c>
      <c r="B172" s="50">
        <v>7.0000000000000007E-2</v>
      </c>
      <c r="C172" s="48">
        <f t="shared" si="0"/>
        <v>0.05</v>
      </c>
      <c r="D172" s="50">
        <v>0.04</v>
      </c>
      <c r="E172" s="48">
        <f t="shared" si="1"/>
        <v>3.0000000000000002E-2</v>
      </c>
      <c r="F172" s="48">
        <v>0.2</v>
      </c>
    </row>
    <row r="173" spans="1:6" x14ac:dyDescent="0.3">
      <c r="A173" s="49" t="s">
        <v>121</v>
      </c>
      <c r="B173" s="50">
        <v>7.0000000000000007E-2</v>
      </c>
      <c r="C173" s="48">
        <f t="shared" si="0"/>
        <v>0.05</v>
      </c>
      <c r="D173" s="50">
        <v>0.04</v>
      </c>
      <c r="E173" s="48">
        <f t="shared" si="1"/>
        <v>3.0000000000000002E-2</v>
      </c>
      <c r="F173" s="48">
        <v>0.18</v>
      </c>
    </row>
    <row r="174" spans="1:6" x14ac:dyDescent="0.3">
      <c r="A174" s="49" t="s">
        <v>122</v>
      </c>
      <c r="B174" s="50">
        <v>7.0000000000000007E-2</v>
      </c>
      <c r="C174" s="48">
        <f t="shared" si="0"/>
        <v>0.05</v>
      </c>
      <c r="D174" s="50">
        <v>0.04</v>
      </c>
      <c r="E174" s="48">
        <f t="shared" si="1"/>
        <v>3.0000000000000002E-2</v>
      </c>
      <c r="F174" s="52">
        <v>0.20499999999999999</v>
      </c>
    </row>
    <row r="175" spans="1:6" x14ac:dyDescent="0.3">
      <c r="A175" s="49" t="s">
        <v>123</v>
      </c>
      <c r="B175" s="50">
        <v>7.0000000000000007E-2</v>
      </c>
      <c r="C175" s="48">
        <f t="shared" si="0"/>
        <v>0.05</v>
      </c>
      <c r="D175" s="50">
        <v>0.04</v>
      </c>
      <c r="E175" s="48">
        <f t="shared" si="1"/>
        <v>3.0000000000000002E-2</v>
      </c>
      <c r="F175" s="48">
        <v>0.2</v>
      </c>
    </row>
    <row r="176" spans="1:6" x14ac:dyDescent="0.3">
      <c r="A176" s="49" t="s">
        <v>124</v>
      </c>
      <c r="B176" s="50">
        <v>7.0000000000000007E-2</v>
      </c>
      <c r="C176" s="48">
        <f t="shared" si="0"/>
        <v>0.05</v>
      </c>
      <c r="D176" s="50">
        <v>0.04</v>
      </c>
      <c r="E176" s="48">
        <f t="shared" si="1"/>
        <v>3.0000000000000002E-2</v>
      </c>
      <c r="F176" s="48">
        <v>0.2</v>
      </c>
    </row>
    <row r="177" spans="1:6" x14ac:dyDescent="0.3">
      <c r="A177" s="49" t="s">
        <v>125</v>
      </c>
      <c r="B177" s="50">
        <v>7.0000000000000007E-2</v>
      </c>
      <c r="C177" s="48">
        <f t="shared" si="0"/>
        <v>0.05</v>
      </c>
      <c r="D177" s="50">
        <v>0.04</v>
      </c>
      <c r="E177" s="48">
        <f t="shared" si="1"/>
        <v>3.0000000000000002E-2</v>
      </c>
      <c r="F177" s="52">
        <v>0.19500000000000001</v>
      </c>
    </row>
    <row r="178" spans="1:6" x14ac:dyDescent="0.3">
      <c r="A178" s="49" t="s">
        <v>126</v>
      </c>
      <c r="B178" s="50">
        <v>7.0000000000000007E-2</v>
      </c>
      <c r="C178" s="48">
        <f t="shared" si="0"/>
        <v>0.05</v>
      </c>
      <c r="D178" s="50">
        <v>0.04</v>
      </c>
      <c r="E178" s="48">
        <f t="shared" si="1"/>
        <v>3.0000000000000002E-2</v>
      </c>
      <c r="F178" s="48">
        <v>0.19</v>
      </c>
    </row>
    <row r="179" spans="1:6" x14ac:dyDescent="0.3">
      <c r="A179" s="49" t="s">
        <v>127</v>
      </c>
      <c r="B179" s="50">
        <v>7.0000000000000007E-2</v>
      </c>
      <c r="C179" s="48">
        <f t="shared" si="0"/>
        <v>0.05</v>
      </c>
      <c r="D179" s="50">
        <v>0.04</v>
      </c>
      <c r="E179" s="48">
        <f t="shared" si="1"/>
        <v>3.0000000000000002E-2</v>
      </c>
      <c r="F179" s="48">
        <v>0.23</v>
      </c>
    </row>
    <row r="180" spans="1:6" x14ac:dyDescent="0.3">
      <c r="A180" s="49" t="s">
        <v>128</v>
      </c>
      <c r="B180" s="50">
        <v>0.12</v>
      </c>
      <c r="C180" s="48">
        <f>7.6%+0.4%</f>
        <v>0.08</v>
      </c>
      <c r="D180" s="50">
        <v>0.04</v>
      </c>
      <c r="E180" s="48">
        <f t="shared" si="1"/>
        <v>3.0000000000000002E-2</v>
      </c>
      <c r="F180" s="48">
        <v>0.18</v>
      </c>
    </row>
    <row r="181" spans="1:6" x14ac:dyDescent="0.3">
      <c r="A181" s="49" t="s">
        <v>129</v>
      </c>
      <c r="B181" s="50">
        <v>7.0000000000000007E-2</v>
      </c>
      <c r="C181" s="48">
        <f t="shared" si="0"/>
        <v>0.05</v>
      </c>
      <c r="D181" s="50">
        <v>0.04</v>
      </c>
      <c r="E181" s="48">
        <f t="shared" si="1"/>
        <v>3.0000000000000002E-2</v>
      </c>
      <c r="F181" s="48">
        <v>0.17</v>
      </c>
    </row>
    <row r="182" spans="1:6" x14ac:dyDescent="0.3">
      <c r="A182" s="49" t="s">
        <v>130</v>
      </c>
      <c r="B182" s="50">
        <v>7.0000000000000007E-2</v>
      </c>
      <c r="C182" s="48">
        <f t="shared" si="0"/>
        <v>0.05</v>
      </c>
      <c r="D182" s="50">
        <v>0.04</v>
      </c>
      <c r="E182" s="48">
        <f t="shared" si="1"/>
        <v>3.0000000000000002E-2</v>
      </c>
      <c r="F182" s="48">
        <v>0.17</v>
      </c>
    </row>
    <row r="183" spans="1:6" x14ac:dyDescent="0.3">
      <c r="A183" s="49" t="s">
        <v>131</v>
      </c>
      <c r="B183" s="50">
        <v>7.0000000000000007E-2</v>
      </c>
      <c r="C183" s="48">
        <f t="shared" si="0"/>
        <v>0.05</v>
      </c>
      <c r="D183" s="50">
        <v>0.04</v>
      </c>
      <c r="E183" s="48">
        <f t="shared" si="1"/>
        <v>3.0000000000000002E-2</v>
      </c>
      <c r="F183" s="48">
        <v>0.19</v>
      </c>
    </row>
    <row r="184" spans="1:6" x14ac:dyDescent="0.3">
      <c r="A184" s="49" t="s">
        <v>132</v>
      </c>
      <c r="B184" s="50">
        <v>7.0000000000000007E-2</v>
      </c>
      <c r="C184" s="48">
        <f t="shared" si="0"/>
        <v>0.05</v>
      </c>
      <c r="D184" s="50">
        <v>0.04</v>
      </c>
      <c r="E184" s="48">
        <f t="shared" si="1"/>
        <v>3.0000000000000002E-2</v>
      </c>
      <c r="F184" s="48">
        <v>0.2</v>
      </c>
    </row>
    <row r="185" spans="1:6" x14ac:dyDescent="0.3">
      <c r="A185" s="49" t="s">
        <v>133</v>
      </c>
      <c r="B185" s="50">
        <v>7.0000000000000007E-2</v>
      </c>
      <c r="C185" s="48">
        <f t="shared" si="0"/>
        <v>0.05</v>
      </c>
      <c r="D185" s="50">
        <v>0.04</v>
      </c>
      <c r="E185" s="48">
        <f t="shared" si="1"/>
        <v>3.0000000000000002E-2</v>
      </c>
      <c r="F185" s="52">
        <v>0.20499999999999999</v>
      </c>
    </row>
    <row r="186" spans="1:6" x14ac:dyDescent="0.3">
      <c r="A186" s="49" t="s">
        <v>134</v>
      </c>
      <c r="B186" s="50">
        <v>7.0000000000000007E-2</v>
      </c>
      <c r="C186" s="48">
        <f t="shared" si="0"/>
        <v>0.05</v>
      </c>
      <c r="D186" s="50">
        <v>0.04</v>
      </c>
      <c r="E186" s="48">
        <f t="shared" si="1"/>
        <v>3.0000000000000002E-2</v>
      </c>
      <c r="F186" s="52">
        <v>0.22500000000000001</v>
      </c>
    </row>
    <row r="187" spans="1:6" x14ac:dyDescent="0.3">
      <c r="A187" s="49" t="s">
        <v>135</v>
      </c>
      <c r="B187" s="50">
        <v>0.12</v>
      </c>
      <c r="C187" s="48">
        <f>7.6%+0.4%</f>
        <v>0.08</v>
      </c>
      <c r="D187" s="50">
        <v>0.04</v>
      </c>
      <c r="E187" s="48">
        <f t="shared" si="1"/>
        <v>3.0000000000000002E-2</v>
      </c>
      <c r="F187" s="52">
        <v>0.19500000000000001</v>
      </c>
    </row>
    <row r="188" spans="1:6" x14ac:dyDescent="0.3">
      <c r="A188" s="49" t="s">
        <v>136</v>
      </c>
      <c r="B188" s="50">
        <v>0.12</v>
      </c>
      <c r="C188" s="48">
        <f>7.6%+0.4%</f>
        <v>0.08</v>
      </c>
      <c r="D188" s="50">
        <v>0.04</v>
      </c>
      <c r="E188" s="48">
        <f t="shared" si="1"/>
        <v>3.0000000000000002E-2</v>
      </c>
      <c r="F188" s="48">
        <v>0.22</v>
      </c>
    </row>
    <row r="189" spans="1:6" x14ac:dyDescent="0.3">
      <c r="A189" s="49" t="s">
        <v>137</v>
      </c>
      <c r="B189" s="50">
        <v>7.0000000000000007E-2</v>
      </c>
      <c r="C189" s="48">
        <f>4.6%+0.4%</f>
        <v>0.05</v>
      </c>
      <c r="D189" s="50">
        <v>0.04</v>
      </c>
      <c r="E189" s="48">
        <f t="shared" si="1"/>
        <v>3.0000000000000002E-2</v>
      </c>
      <c r="F189" s="48">
        <v>0.2</v>
      </c>
    </row>
    <row r="190" spans="1:6" x14ac:dyDescent="0.3">
      <c r="A190" s="49" t="s">
        <v>138</v>
      </c>
      <c r="B190" s="50">
        <v>7.0000000000000007E-2</v>
      </c>
      <c r="C190" s="48">
        <f>4.6%+0.4%</f>
        <v>0.05</v>
      </c>
      <c r="D190" s="50">
        <v>0.04</v>
      </c>
      <c r="E190" s="48">
        <f t="shared" si="1"/>
        <v>3.0000000000000002E-2</v>
      </c>
      <c r="F190" s="52">
        <v>0.19500000000000001</v>
      </c>
    </row>
    <row r="191" spans="1:6" x14ac:dyDescent="0.3">
      <c r="A191" s="49" t="s">
        <v>139</v>
      </c>
      <c r="B191" s="50">
        <v>7.0000000000000007E-2</v>
      </c>
      <c r="C191" s="48">
        <f>4.6%+0.4%</f>
        <v>0.05</v>
      </c>
      <c r="D191" s="50">
        <v>0.04</v>
      </c>
      <c r="E191" s="48">
        <f t="shared" si="1"/>
        <v>3.0000000000000002E-2</v>
      </c>
      <c r="F191" s="48">
        <v>0.2</v>
      </c>
    </row>
    <row r="192" spans="1:6" x14ac:dyDescent="0.3">
      <c r="A192" s="49" t="s">
        <v>140</v>
      </c>
      <c r="B192" s="51">
        <v>0.12</v>
      </c>
      <c r="C192" s="48">
        <f>7.6%+0.4%</f>
        <v>0.08</v>
      </c>
      <c r="D192" s="50">
        <v>0.04</v>
      </c>
      <c r="E192" s="48">
        <f t="shared" si="1"/>
        <v>3.0000000000000002E-2</v>
      </c>
      <c r="F192" s="48">
        <v>0.17</v>
      </c>
    </row>
    <row r="193" spans="1:6" x14ac:dyDescent="0.3">
      <c r="A193" s="49" t="s">
        <v>141</v>
      </c>
      <c r="B193" s="50">
        <v>0.12</v>
      </c>
      <c r="C193" s="48">
        <f>7.6%+0.4%</f>
        <v>0.08</v>
      </c>
      <c r="D193" s="50">
        <v>0.04</v>
      </c>
      <c r="E193" s="48">
        <f t="shared" si="1"/>
        <v>3.0000000000000002E-2</v>
      </c>
      <c r="F193" s="48">
        <v>0.17</v>
      </c>
    </row>
    <row r="194" spans="1:6" x14ac:dyDescent="0.3">
      <c r="A194" s="49" t="s">
        <v>142</v>
      </c>
      <c r="B194" s="50">
        <v>7.0000000000000007E-2</v>
      </c>
      <c r="C194" s="48">
        <f>4.6%+0.4%</f>
        <v>0.05</v>
      </c>
      <c r="D194" s="50">
        <v>0.04</v>
      </c>
      <c r="E194" s="48">
        <f t="shared" si="1"/>
        <v>3.0000000000000002E-2</v>
      </c>
      <c r="F194" s="48">
        <v>0.2</v>
      </c>
    </row>
    <row r="195" spans="1:6" x14ac:dyDescent="0.3">
      <c r="A195" s="49" t="s">
        <v>143</v>
      </c>
      <c r="B195" s="50">
        <v>0.12</v>
      </c>
      <c r="C195" s="48">
        <f>7.6%+0.4%</f>
        <v>0.08</v>
      </c>
      <c r="D195" s="50">
        <v>0.04</v>
      </c>
      <c r="E195" s="48">
        <f t="shared" si="1"/>
        <v>3.0000000000000002E-2</v>
      </c>
      <c r="F195" s="48">
        <v>0.18</v>
      </c>
    </row>
    <row r="196" spans="1:6" x14ac:dyDescent="0.3">
      <c r="A196" s="49" t="s">
        <v>144</v>
      </c>
      <c r="B196" s="50">
        <v>7.0000000000000007E-2</v>
      </c>
      <c r="C196" s="48">
        <f>4.6%+0.4%</f>
        <v>0.05</v>
      </c>
      <c r="D196" s="50">
        <v>0.04</v>
      </c>
      <c r="E196" s="48">
        <f t="shared" si="1"/>
        <v>3.0000000000000002E-2</v>
      </c>
      <c r="F196" s="48">
        <v>0.2</v>
      </c>
    </row>
    <row r="202" spans="1:6" x14ac:dyDescent="0.3">
      <c r="A202" t="s">
        <v>167</v>
      </c>
    </row>
    <row r="203" spans="1:6" x14ac:dyDescent="0.3">
      <c r="A203" t="s">
        <v>168</v>
      </c>
    </row>
    <row r="204" spans="1:6" x14ac:dyDescent="0.3">
      <c r="A204" t="s">
        <v>164</v>
      </c>
    </row>
    <row r="206" spans="1:6" x14ac:dyDescent="0.3">
      <c r="A206" t="s">
        <v>165</v>
      </c>
    </row>
    <row r="207" spans="1:6" x14ac:dyDescent="0.3">
      <c r="A207" t="s">
        <v>166</v>
      </c>
    </row>
    <row r="210" spans="1:1" x14ac:dyDescent="0.3">
      <c r="A210" t="s">
        <v>170</v>
      </c>
    </row>
  </sheetData>
  <sortState xmlns:xlrd2="http://schemas.microsoft.com/office/spreadsheetml/2017/richdata2" ref="T7:T17">
    <sortCondition ref="T7:T17"/>
  </sortState>
  <mergeCells count="4">
    <mergeCell ref="B169:C169"/>
    <mergeCell ref="D169:E169"/>
    <mergeCell ref="B168:E168"/>
    <mergeCell ref="F168:F169"/>
  </mergeCells>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showGridLines="0" zoomScale="90" zoomScaleNormal="90" workbookViewId="0">
      <selection activeCell="C86" sqref="C86"/>
    </sheetView>
  </sheetViews>
  <sheetFormatPr defaultColWidth="8.77734375" defaultRowHeight="14.4" x14ac:dyDescent="0.3"/>
  <cols>
    <col min="1" max="1" width="17.77734375" style="17" bestFit="1" customWidth="1"/>
    <col min="2" max="2" width="44.21875" style="11" customWidth="1"/>
    <col min="3" max="3" width="36.21875" style="11" customWidth="1"/>
    <col min="4" max="4" width="12.77734375" style="11" customWidth="1"/>
    <col min="5" max="5" width="15.77734375" style="11" customWidth="1"/>
    <col min="6" max="6" width="18.5546875" style="11" customWidth="1"/>
    <col min="7" max="8" width="21.21875" style="11" customWidth="1"/>
    <col min="9" max="9" width="20.21875" style="11" customWidth="1"/>
    <col min="10" max="10" width="16.44140625" style="11" customWidth="1"/>
    <col min="11" max="11" width="21.21875" style="11" customWidth="1"/>
    <col min="12" max="12" width="20.77734375" style="11" customWidth="1"/>
    <col min="13" max="13" width="30" style="11" customWidth="1"/>
    <col min="14" max="16384" width="8.77734375" style="11"/>
  </cols>
  <sheetData>
    <row r="1" spans="2:10" x14ac:dyDescent="0.3">
      <c r="J1" s="35" t="s">
        <v>141</v>
      </c>
    </row>
    <row r="2" spans="2:10" x14ac:dyDescent="0.3">
      <c r="J2" s="35" t="s">
        <v>143</v>
      </c>
    </row>
    <row r="4" spans="2:10" ht="23.7" customHeight="1" x14ac:dyDescent="0.3"/>
    <row r="5" spans="2:10" x14ac:dyDescent="0.3">
      <c r="B5" s="296" t="s">
        <v>81</v>
      </c>
      <c r="C5" s="296"/>
    </row>
    <row r="6" spans="2:10" ht="12" customHeight="1" x14ac:dyDescent="0.3">
      <c r="B6" s="14" t="s">
        <v>103</v>
      </c>
      <c r="C6" s="17"/>
    </row>
    <row r="7" spans="2:10" x14ac:dyDescent="0.3">
      <c r="B7" s="13" t="s">
        <v>0</v>
      </c>
      <c r="C7" s="36"/>
    </row>
    <row r="8" spans="2:10" x14ac:dyDescent="0.3">
      <c r="B8" s="13" t="s">
        <v>1</v>
      </c>
      <c r="C8" s="36"/>
    </row>
    <row r="9" spans="2:10" x14ac:dyDescent="0.3">
      <c r="C9" s="17"/>
    </row>
    <row r="10" spans="2:10" x14ac:dyDescent="0.3">
      <c r="B10" s="13" t="s">
        <v>2</v>
      </c>
      <c r="C10" s="175"/>
    </row>
    <row r="11" spans="2:10" x14ac:dyDescent="0.3">
      <c r="B11" s="13" t="s">
        <v>3</v>
      </c>
      <c r="C11" s="175"/>
    </row>
    <row r="12" spans="2:10" x14ac:dyDescent="0.3">
      <c r="B12" s="13" t="s">
        <v>70</v>
      </c>
      <c r="C12" s="175">
        <v>1</v>
      </c>
    </row>
    <row r="13" spans="2:10" x14ac:dyDescent="0.3">
      <c r="C13" s="17"/>
    </row>
    <row r="14" spans="2:10" x14ac:dyDescent="0.3">
      <c r="B14" s="13" t="s">
        <v>4</v>
      </c>
      <c r="C14" s="37" t="s">
        <v>14</v>
      </c>
    </row>
    <row r="15" spans="2:10" x14ac:dyDescent="0.3">
      <c r="B15" s="13" t="s">
        <v>5</v>
      </c>
      <c r="C15" s="37" t="s">
        <v>30</v>
      </c>
    </row>
    <row r="16" spans="2:10" x14ac:dyDescent="0.3">
      <c r="B16" s="13" t="s">
        <v>6</v>
      </c>
      <c r="C16" s="37"/>
    </row>
    <row r="17" spans="2:11" x14ac:dyDescent="0.3">
      <c r="B17" s="13" t="s">
        <v>7</v>
      </c>
      <c r="C17" s="38" t="s">
        <v>141</v>
      </c>
    </row>
    <row r="18" spans="2:11" x14ac:dyDescent="0.3">
      <c r="B18" s="13" t="s">
        <v>8</v>
      </c>
      <c r="C18" s="37"/>
    </row>
    <row r="19" spans="2:11" x14ac:dyDescent="0.3">
      <c r="B19" s="13" t="s">
        <v>240</v>
      </c>
      <c r="C19" s="37">
        <v>1</v>
      </c>
    </row>
    <row r="20" spans="2:11" x14ac:dyDescent="0.3">
      <c r="B20" s="13" t="s">
        <v>10</v>
      </c>
      <c r="C20" s="102" t="s">
        <v>344</v>
      </c>
    </row>
    <row r="21" spans="2:11" x14ac:dyDescent="0.3">
      <c r="B21" s="13" t="s">
        <v>11</v>
      </c>
      <c r="C21" s="37" t="s">
        <v>349</v>
      </c>
    </row>
    <row r="22" spans="2:11" x14ac:dyDescent="0.3">
      <c r="B22" s="13" t="s">
        <v>12</v>
      </c>
      <c r="C22" s="37" t="s">
        <v>344</v>
      </c>
    </row>
    <row r="23" spans="2:11" x14ac:dyDescent="0.3">
      <c r="B23" s="13" t="s">
        <v>13</v>
      </c>
      <c r="C23" s="37" t="s">
        <v>344</v>
      </c>
    </row>
    <row r="24" spans="2:11" x14ac:dyDescent="0.3">
      <c r="C24" s="17"/>
      <c r="D24" s="145"/>
      <c r="E24" s="145"/>
      <c r="F24" s="145"/>
      <c r="G24" s="35"/>
      <c r="H24" s="35"/>
      <c r="I24" s="35"/>
      <c r="J24" s="35"/>
      <c r="K24" s="35"/>
    </row>
    <row r="25" spans="2:11" x14ac:dyDescent="0.3">
      <c r="C25" s="17"/>
      <c r="D25" s="35"/>
      <c r="E25" s="35"/>
      <c r="F25" s="35"/>
      <c r="G25" s="35"/>
      <c r="H25" s="35"/>
      <c r="I25" s="35"/>
      <c r="J25" s="35"/>
      <c r="K25" s="35"/>
    </row>
    <row r="26" spans="2:11" x14ac:dyDescent="0.3">
      <c r="B26" s="291" t="s">
        <v>95</v>
      </c>
      <c r="C26" s="292"/>
      <c r="E26" s="35"/>
      <c r="F26" s="35"/>
      <c r="G26" s="35"/>
      <c r="H26" s="35"/>
      <c r="I26" s="35"/>
      <c r="J26" s="146"/>
      <c r="K26" s="145"/>
    </row>
    <row r="27" spans="2:11" x14ac:dyDescent="0.3">
      <c r="B27" s="297" t="s">
        <v>92</v>
      </c>
      <c r="C27" s="297"/>
      <c r="E27" s="35" t="s">
        <v>91</v>
      </c>
      <c r="F27" s="35"/>
      <c r="G27" s="35"/>
      <c r="H27" s="35" t="s">
        <v>90</v>
      </c>
      <c r="I27" s="35"/>
      <c r="J27" s="35"/>
      <c r="K27" s="35"/>
    </row>
    <row r="28" spans="2:11" x14ac:dyDescent="0.3">
      <c r="B28" s="40" t="s">
        <v>93</v>
      </c>
      <c r="C28" s="18">
        <v>5.7603</v>
      </c>
      <c r="E28" s="35" t="s">
        <v>93</v>
      </c>
      <c r="F28" s="35">
        <f>C28</f>
        <v>5.7603</v>
      </c>
      <c r="G28" s="35"/>
      <c r="H28" s="35" t="s">
        <v>65</v>
      </c>
      <c r="I28" s="35">
        <f>F28</f>
        <v>5.7603</v>
      </c>
      <c r="J28" s="35"/>
      <c r="K28" s="35"/>
    </row>
    <row r="29" spans="2:11" x14ac:dyDescent="0.3">
      <c r="B29" s="176" t="s">
        <v>261</v>
      </c>
      <c r="C29" s="18">
        <v>0</v>
      </c>
      <c r="E29" s="35" t="s">
        <v>94</v>
      </c>
      <c r="F29" s="35">
        <f>C29</f>
        <v>0</v>
      </c>
      <c r="G29" s="35"/>
      <c r="H29" s="35" t="s">
        <v>66</v>
      </c>
      <c r="I29" s="35">
        <f>F29</f>
        <v>0</v>
      </c>
      <c r="J29" s="35"/>
      <c r="K29" s="35"/>
    </row>
    <row r="30" spans="2:11" x14ac:dyDescent="0.3">
      <c r="B30" s="13"/>
      <c r="C30" s="26"/>
      <c r="J30" s="60"/>
      <c r="K30" s="60"/>
    </row>
    <row r="31" spans="2:11" x14ac:dyDescent="0.3">
      <c r="B31" s="13"/>
      <c r="C31" s="26"/>
      <c r="D31" s="39"/>
      <c r="E31" s="17"/>
      <c r="F31" s="17"/>
      <c r="G31" s="17"/>
      <c r="H31" s="17"/>
      <c r="I31" s="17"/>
      <c r="J31" s="17"/>
      <c r="K31" s="17"/>
    </row>
    <row r="32" spans="2:11" s="17" customFormat="1" x14ac:dyDescent="0.3"/>
    <row r="33" spans="1:13" x14ac:dyDescent="0.3">
      <c r="B33" s="15" t="s">
        <v>202</v>
      </c>
    </row>
    <row r="34" spans="1:13" x14ac:dyDescent="0.3">
      <c r="A34" s="58"/>
      <c r="B34" s="14" t="s">
        <v>104</v>
      </c>
      <c r="C34" s="12"/>
      <c r="D34" s="12"/>
      <c r="E34" s="12"/>
      <c r="F34" s="12"/>
      <c r="G34" s="12"/>
      <c r="H34" s="12"/>
      <c r="I34" s="12"/>
      <c r="J34" s="12"/>
      <c r="K34" s="12"/>
    </row>
    <row r="35" spans="1:13" x14ac:dyDescent="0.3">
      <c r="A35" s="58"/>
      <c r="B35" s="14"/>
      <c r="C35" s="12"/>
      <c r="D35" s="12"/>
      <c r="E35" s="12"/>
      <c r="F35" s="12"/>
      <c r="G35" s="12"/>
      <c r="H35" s="12"/>
      <c r="I35" s="12"/>
      <c r="J35" s="12"/>
      <c r="K35" s="12"/>
    </row>
    <row r="36" spans="1:13" x14ac:dyDescent="0.3">
      <c r="B36" s="16" t="s">
        <v>82</v>
      </c>
      <c r="C36" s="36" t="s">
        <v>35</v>
      </c>
      <c r="D36" s="35">
        <f>IF(C36='modelos taxas'!A1,'Dados à Preencher'!C28,IF('Dados à Preencher'!C36='modelos taxas'!A2,'Dados à Preencher'!C29))</f>
        <v>5.7603</v>
      </c>
      <c r="E36" s="35">
        <f>IF(C36='modelos taxas'!A1,'Dados à Preencher'!I28,IF('Dados à Preencher'!C36='modelos taxas'!A2,'Dados à Preencher'!I29))</f>
        <v>5.7603</v>
      </c>
    </row>
    <row r="37" spans="1:13" x14ac:dyDescent="0.3">
      <c r="B37" s="12"/>
      <c r="C37" s="12"/>
      <c r="D37" s="12"/>
      <c r="E37" s="12"/>
    </row>
    <row r="38" spans="1:13" s="29" customFormat="1" ht="46.2" customHeight="1" x14ac:dyDescent="0.3">
      <c r="A38" s="59" t="s">
        <v>38</v>
      </c>
      <c r="B38" s="54" t="s">
        <v>33</v>
      </c>
      <c r="C38" s="28" t="s">
        <v>34</v>
      </c>
      <c r="D38" s="28" t="s">
        <v>352</v>
      </c>
      <c r="E38" s="28" t="s">
        <v>353</v>
      </c>
      <c r="F38" s="28" t="s">
        <v>3</v>
      </c>
      <c r="G38" s="28" t="s">
        <v>193</v>
      </c>
      <c r="H38" s="28" t="s">
        <v>44</v>
      </c>
      <c r="I38" s="28" t="s">
        <v>45</v>
      </c>
      <c r="J38" s="28" t="s">
        <v>46</v>
      </c>
      <c r="K38" s="28" t="s">
        <v>47</v>
      </c>
      <c r="L38" s="101" t="s">
        <v>200</v>
      </c>
      <c r="M38" s="59" t="s">
        <v>354</v>
      </c>
    </row>
    <row r="39" spans="1:13" s="17" customFormat="1" x14ac:dyDescent="0.3">
      <c r="A39" s="56">
        <v>1</v>
      </c>
      <c r="B39" s="53" t="s">
        <v>363</v>
      </c>
      <c r="C39" s="19">
        <v>1000</v>
      </c>
      <c r="D39" s="117">
        <v>5</v>
      </c>
      <c r="E39" s="117">
        <f>C39*D39</f>
        <v>5000</v>
      </c>
      <c r="F39" s="20"/>
      <c r="G39" s="34">
        <v>0</v>
      </c>
      <c r="H39" s="100">
        <v>0.1</v>
      </c>
      <c r="I39" s="100">
        <v>0</v>
      </c>
      <c r="J39" s="143">
        <v>2.1000000000000001E-2</v>
      </c>
      <c r="K39" s="21">
        <v>9.6500000000000002E-2</v>
      </c>
      <c r="L39" s="100" t="s">
        <v>199</v>
      </c>
      <c r="M39" s="100">
        <v>0.18</v>
      </c>
    </row>
    <row r="40" spans="1:13" s="17" customFormat="1" x14ac:dyDescent="0.3">
      <c r="A40" s="56">
        <v>2</v>
      </c>
      <c r="B40" s="53"/>
      <c r="C40" s="19"/>
      <c r="D40" s="117"/>
      <c r="E40" s="117">
        <f t="shared" ref="E40:E48" si="0">C40*D40</f>
        <v>0</v>
      </c>
      <c r="F40" s="20"/>
      <c r="G40" s="34">
        <v>0</v>
      </c>
      <c r="H40" s="100"/>
      <c r="I40" s="100"/>
      <c r="J40" s="143"/>
      <c r="K40" s="21"/>
      <c r="L40" s="100" t="s">
        <v>199</v>
      </c>
      <c r="M40" s="100">
        <v>0.18</v>
      </c>
    </row>
    <row r="41" spans="1:13" s="17" customFormat="1" x14ac:dyDescent="0.3">
      <c r="A41" s="56">
        <v>3</v>
      </c>
      <c r="B41" s="53"/>
      <c r="C41" s="19"/>
      <c r="D41" s="117"/>
      <c r="E41" s="117">
        <f t="shared" si="0"/>
        <v>0</v>
      </c>
      <c r="F41" s="20"/>
      <c r="G41" s="34">
        <v>0</v>
      </c>
      <c r="H41" s="100"/>
      <c r="I41" s="100"/>
      <c r="J41" s="143"/>
      <c r="K41" s="21"/>
      <c r="L41" s="100" t="s">
        <v>199</v>
      </c>
      <c r="M41" s="100">
        <v>0.18</v>
      </c>
    </row>
    <row r="42" spans="1:13" s="17" customFormat="1" x14ac:dyDescent="0.3">
      <c r="A42" s="56">
        <v>4</v>
      </c>
      <c r="B42" s="53"/>
      <c r="C42" s="19"/>
      <c r="D42" s="117"/>
      <c r="E42" s="117">
        <f t="shared" si="0"/>
        <v>0</v>
      </c>
      <c r="F42" s="20"/>
      <c r="G42" s="34">
        <v>0</v>
      </c>
      <c r="H42" s="100"/>
      <c r="I42" s="100"/>
      <c r="J42" s="143"/>
      <c r="K42" s="21"/>
      <c r="L42" s="100" t="s">
        <v>199</v>
      </c>
      <c r="M42" s="100">
        <v>0.18</v>
      </c>
    </row>
    <row r="43" spans="1:13" s="17" customFormat="1" x14ac:dyDescent="0.3">
      <c r="A43" s="56">
        <v>5</v>
      </c>
      <c r="B43" s="53"/>
      <c r="C43" s="19"/>
      <c r="D43" s="117"/>
      <c r="E43" s="117">
        <f t="shared" si="0"/>
        <v>0</v>
      </c>
      <c r="F43" s="20"/>
      <c r="G43" s="34">
        <v>0</v>
      </c>
      <c r="H43" s="100"/>
      <c r="I43" s="100"/>
      <c r="J43" s="143"/>
      <c r="K43" s="21"/>
      <c r="L43" s="100" t="s">
        <v>199</v>
      </c>
      <c r="M43" s="100">
        <v>0.18</v>
      </c>
    </row>
    <row r="44" spans="1:13" s="17" customFormat="1" x14ac:dyDescent="0.3">
      <c r="A44" s="56">
        <v>6</v>
      </c>
      <c r="B44" s="53"/>
      <c r="C44" s="19"/>
      <c r="D44" s="117"/>
      <c r="E44" s="117">
        <f t="shared" si="0"/>
        <v>0</v>
      </c>
      <c r="F44" s="20"/>
      <c r="G44" s="34">
        <v>0</v>
      </c>
      <c r="H44" s="100"/>
      <c r="I44" s="100"/>
      <c r="J44" s="143"/>
      <c r="K44" s="21"/>
      <c r="L44" s="100" t="s">
        <v>199</v>
      </c>
      <c r="M44" s="100">
        <v>0.18</v>
      </c>
    </row>
    <row r="45" spans="1:13" s="17" customFormat="1" x14ac:dyDescent="0.3">
      <c r="A45" s="56">
        <v>7</v>
      </c>
      <c r="B45" s="53"/>
      <c r="C45" s="19"/>
      <c r="D45" s="117"/>
      <c r="E45" s="117">
        <f t="shared" si="0"/>
        <v>0</v>
      </c>
      <c r="F45" s="20"/>
      <c r="G45" s="34">
        <v>0</v>
      </c>
      <c r="H45" s="100"/>
      <c r="I45" s="100"/>
      <c r="J45" s="143"/>
      <c r="K45" s="21"/>
      <c r="L45" s="100" t="s">
        <v>199</v>
      </c>
      <c r="M45" s="100">
        <v>0.18</v>
      </c>
    </row>
    <row r="46" spans="1:13" s="17" customFormat="1" x14ac:dyDescent="0.3">
      <c r="A46" s="56">
        <v>8</v>
      </c>
      <c r="B46" s="53"/>
      <c r="C46" s="19"/>
      <c r="D46" s="117"/>
      <c r="E46" s="117">
        <f t="shared" si="0"/>
        <v>0</v>
      </c>
      <c r="F46" s="20"/>
      <c r="G46" s="34">
        <v>0</v>
      </c>
      <c r="H46" s="100"/>
      <c r="I46" s="100"/>
      <c r="J46" s="143"/>
      <c r="K46" s="21"/>
      <c r="L46" s="100" t="s">
        <v>199</v>
      </c>
      <c r="M46" s="100">
        <v>0.18</v>
      </c>
    </row>
    <row r="47" spans="1:13" s="17" customFormat="1" x14ac:dyDescent="0.3">
      <c r="A47" s="56">
        <v>9</v>
      </c>
      <c r="B47" s="53"/>
      <c r="C47" s="19"/>
      <c r="D47" s="117"/>
      <c r="E47" s="117">
        <f t="shared" si="0"/>
        <v>0</v>
      </c>
      <c r="F47" s="20"/>
      <c r="G47" s="34">
        <v>0</v>
      </c>
      <c r="H47" s="100"/>
      <c r="I47" s="100"/>
      <c r="J47" s="143"/>
      <c r="K47" s="21"/>
      <c r="L47" s="100" t="s">
        <v>199</v>
      </c>
      <c r="M47" s="100">
        <v>0.18</v>
      </c>
    </row>
    <row r="48" spans="1:13" s="17" customFormat="1" x14ac:dyDescent="0.3">
      <c r="A48" s="56">
        <v>10</v>
      </c>
      <c r="B48" s="53"/>
      <c r="C48" s="19"/>
      <c r="D48" s="117"/>
      <c r="E48" s="117">
        <f t="shared" si="0"/>
        <v>0</v>
      </c>
      <c r="F48" s="20"/>
      <c r="G48" s="34">
        <v>0</v>
      </c>
      <c r="H48" s="100"/>
      <c r="I48" s="100"/>
      <c r="J48" s="143"/>
      <c r="K48" s="21"/>
      <c r="L48" s="100" t="s">
        <v>199</v>
      </c>
      <c r="M48" s="100">
        <v>0.18</v>
      </c>
    </row>
    <row r="49" spans="1:13" s="17" customFormat="1" x14ac:dyDescent="0.3">
      <c r="A49" s="22" t="s">
        <v>37</v>
      </c>
      <c r="B49" s="55"/>
      <c r="C49" s="23">
        <f>SUM(C39:C48)</f>
        <v>1000</v>
      </c>
      <c r="D49" s="33"/>
      <c r="E49" s="33">
        <f>SUM(E39:E48)</f>
        <v>5000</v>
      </c>
      <c r="F49" s="24"/>
      <c r="G49" s="24"/>
      <c r="H49" s="142">
        <f>AVERAGE(H39:H48)</f>
        <v>0.1</v>
      </c>
      <c r="I49" s="142">
        <f>AVERAGE(I39:I48)</f>
        <v>0</v>
      </c>
      <c r="J49" s="144">
        <f>AVERAGE(J39:J48)</f>
        <v>2.1000000000000001E-2</v>
      </c>
      <c r="K49" s="141">
        <f>AVERAGE(K39:K48)</f>
        <v>9.6500000000000002E-2</v>
      </c>
      <c r="L49" s="141"/>
      <c r="M49" s="142">
        <f>AVERAGEIF(M39:M48,"&gt;0,00%")</f>
        <v>0.17999999999999997</v>
      </c>
    </row>
    <row r="50" spans="1:13" s="17" customFormat="1" x14ac:dyDescent="0.3"/>
    <row r="51" spans="1:13" s="17" customFormat="1" x14ac:dyDescent="0.3"/>
    <row r="52" spans="1:13" s="17" customFormat="1" x14ac:dyDescent="0.3"/>
    <row r="53" spans="1:13" s="17" customFormat="1" x14ac:dyDescent="0.3"/>
    <row r="54" spans="1:13" s="17" customFormat="1" x14ac:dyDescent="0.3">
      <c r="B54" s="298" t="s">
        <v>203</v>
      </c>
      <c r="C54" s="298"/>
      <c r="D54" s="298"/>
      <c r="E54" s="298"/>
    </row>
    <row r="55" spans="1:13" s="17" customFormat="1" x14ac:dyDescent="0.3">
      <c r="B55" s="104" t="s">
        <v>362</v>
      </c>
      <c r="C55" s="104"/>
      <c r="D55" s="104"/>
      <c r="E55" s="104"/>
    </row>
    <row r="56" spans="1:13" s="17" customFormat="1" x14ac:dyDescent="0.3">
      <c r="A56" s="105" t="s">
        <v>373</v>
      </c>
      <c r="B56" s="105" t="s">
        <v>99</v>
      </c>
      <c r="C56" s="105" t="s">
        <v>100</v>
      </c>
      <c r="D56" s="105" t="s">
        <v>101</v>
      </c>
      <c r="E56" s="148" t="s">
        <v>17</v>
      </c>
      <c r="F56" s="106" t="s">
        <v>102</v>
      </c>
      <c r="G56" s="107"/>
      <c r="H56" s="107"/>
      <c r="I56" s="35"/>
      <c r="J56" s="35"/>
      <c r="K56" s="114"/>
    </row>
    <row r="57" spans="1:13" s="17" customFormat="1" x14ac:dyDescent="0.3">
      <c r="A57" s="120" t="s">
        <v>256</v>
      </c>
      <c r="B57" s="159" t="s">
        <v>16</v>
      </c>
      <c r="C57" s="159" t="s">
        <v>35</v>
      </c>
      <c r="D57" s="160">
        <v>1</v>
      </c>
      <c r="E57" s="168">
        <f>IF(C57='modelos taxas'!$A$1,$C$28,IF(C57='modelos taxas'!$A$2,$C$29,IF(C57='modelos taxas'!$A$3,1)))</f>
        <v>5.7603</v>
      </c>
      <c r="F57" s="168">
        <f>D57*E57</f>
        <v>5.7603</v>
      </c>
      <c r="G57" s="123"/>
      <c r="H57" s="124"/>
      <c r="I57" s="115">
        <f>IF(C57='modelos taxas'!$A$1,$C$28,IF(C57='modelos taxas'!$A$2,$C$29,IF(C57='modelos taxas'!$A$3,1)))</f>
        <v>5.7603</v>
      </c>
      <c r="J57" s="115"/>
      <c r="K57" s="116">
        <f>D57*I57</f>
        <v>5.7603</v>
      </c>
    </row>
    <row r="58" spans="1:13" s="17" customFormat="1" x14ac:dyDescent="0.3">
      <c r="A58" s="121" t="s">
        <v>256</v>
      </c>
      <c r="B58" s="31" t="s">
        <v>18</v>
      </c>
      <c r="C58" s="31" t="s">
        <v>35</v>
      </c>
      <c r="D58" s="32">
        <v>1</v>
      </c>
      <c r="E58" s="169">
        <f>IF(C58='modelos taxas'!$A$1,$C$28,IF(C58='modelos taxas'!$A$2,$C$29,IF(C58='modelos taxas'!$A$3,1)))</f>
        <v>5.7603</v>
      </c>
      <c r="F58" s="169">
        <f t="shared" ref="F58:F61" si="1">D58*E58</f>
        <v>5.7603</v>
      </c>
      <c r="G58" s="123"/>
      <c r="H58" s="124"/>
      <c r="I58" s="115">
        <f>IF(C58='modelos taxas'!$A$1,$C$28,IF(C58='modelos taxas'!$A$2,$C$29,IF(C58='modelos taxas'!$A$3,1)))</f>
        <v>5.7603</v>
      </c>
      <c r="J58" s="115"/>
      <c r="K58" s="116">
        <f>D58*I58</f>
        <v>5.7603</v>
      </c>
    </row>
    <row r="59" spans="1:13" s="17" customFormat="1" x14ac:dyDescent="0.3">
      <c r="A59" s="122" t="s">
        <v>256</v>
      </c>
      <c r="B59" s="161" t="s">
        <v>19</v>
      </c>
      <c r="C59" s="161" t="s">
        <v>98</v>
      </c>
      <c r="D59" s="162">
        <v>1</v>
      </c>
      <c r="E59" s="170">
        <f>IF(C59='modelos taxas'!$A$1,$C$28,IF(C59='modelos taxas'!$A$2,$C$29,IF(C59='modelos taxas'!$A$3,1)))</f>
        <v>1</v>
      </c>
      <c r="F59" s="170">
        <f t="shared" si="1"/>
        <v>1</v>
      </c>
      <c r="G59" s="123"/>
      <c r="H59" s="124"/>
      <c r="I59" s="115">
        <f>IF(C59='modelos taxas'!$A$1,$C$28,IF(C59='modelos taxas'!$A$2,$C$29,IF(C59='modelos taxas'!$A$3,1)))</f>
        <v>1</v>
      </c>
      <c r="J59" s="115"/>
      <c r="K59" s="116">
        <f>D59*I59</f>
        <v>1</v>
      </c>
    </row>
    <row r="60" spans="1:13" s="17" customFormat="1" x14ac:dyDescent="0.3">
      <c r="D60" s="119"/>
      <c r="E60" s="171"/>
      <c r="F60" s="171"/>
      <c r="G60" s="124"/>
      <c r="H60" s="124"/>
      <c r="I60" s="115"/>
      <c r="J60" s="115"/>
      <c r="K60" s="116"/>
    </row>
    <row r="61" spans="1:13" s="17" customFormat="1" x14ac:dyDescent="0.3">
      <c r="A61" s="147" t="s">
        <v>171</v>
      </c>
      <c r="B61" s="163" t="s">
        <v>365</v>
      </c>
      <c r="C61" s="163" t="s">
        <v>35</v>
      </c>
      <c r="D61" s="164">
        <v>1</v>
      </c>
      <c r="E61" s="172">
        <f>IF(C61='modelos taxas'!$A$1,$C$28,IF(C61='modelos taxas'!$A$2,$C$29,IF(C61='modelos taxas'!$A$3,1)))</f>
        <v>5.7603</v>
      </c>
      <c r="F61" s="174">
        <f t="shared" si="1"/>
        <v>5.7603</v>
      </c>
      <c r="G61" s="124"/>
      <c r="H61" s="124"/>
      <c r="I61" s="115">
        <f>IF(C61='modelos taxas'!$A$1,$C$28,IF(C61='modelos taxas'!$A$2,$C$29,IF(C61='modelos taxas'!$A$3,1)))</f>
        <v>5.7603</v>
      </c>
      <c r="J61" s="115"/>
      <c r="K61" s="116">
        <f t="shared" ref="K61" si="2">D61*I61</f>
        <v>5.7603</v>
      </c>
    </row>
    <row r="62" spans="1:13" s="17" customFormat="1" x14ac:dyDescent="0.3">
      <c r="A62" s="31"/>
      <c r="B62" s="31"/>
      <c r="C62" s="31"/>
      <c r="D62" s="32"/>
      <c r="E62" s="173"/>
      <c r="F62" s="173"/>
      <c r="G62" s="124"/>
      <c r="H62" s="124"/>
      <c r="I62" s="115"/>
      <c r="J62" s="115"/>
      <c r="K62" s="116"/>
    </row>
    <row r="63" spans="1:13" s="17" customFormat="1" x14ac:dyDescent="0.3">
      <c r="A63" s="149" t="s">
        <v>172</v>
      </c>
      <c r="B63" s="165" t="s">
        <v>355</v>
      </c>
      <c r="C63" s="159" t="s">
        <v>98</v>
      </c>
      <c r="D63" s="160">
        <v>1</v>
      </c>
      <c r="E63" s="168">
        <f>IF(C63='modelos taxas'!$A$1,$C$28,IF(C63='modelos taxas'!$A$2,$C$29,IF(C63='modelos taxas'!$A$3,1)))</f>
        <v>1</v>
      </c>
      <c r="F63" s="168">
        <f t="shared" ref="F63:F68" si="3">D63*E63</f>
        <v>1</v>
      </c>
      <c r="G63" s="124"/>
      <c r="H63" s="124"/>
      <c r="I63" s="115">
        <f>IF(C63='modelos taxas'!$A$1,$C$28,IF(C63='modelos taxas'!$A$2,$C$29,IF(C63='modelos taxas'!$A$3,1)))</f>
        <v>1</v>
      </c>
      <c r="J63" s="115"/>
      <c r="K63" s="116">
        <f>D63*I63</f>
        <v>1</v>
      </c>
    </row>
    <row r="64" spans="1:13" s="17" customFormat="1" x14ac:dyDescent="0.3">
      <c r="A64" s="150" t="s">
        <v>172</v>
      </c>
      <c r="B64" s="166" t="s">
        <v>356</v>
      </c>
      <c r="C64" s="31" t="s">
        <v>98</v>
      </c>
      <c r="D64" s="32">
        <v>1</v>
      </c>
      <c r="E64" s="169">
        <f>IF(C64='modelos taxas'!$A$1,$C$28,IF(C64='modelos taxas'!$A$2,$C$29,IF(C64='modelos taxas'!$A$3,1)))</f>
        <v>1</v>
      </c>
      <c r="F64" s="169">
        <f t="shared" si="3"/>
        <v>1</v>
      </c>
    </row>
    <row r="65" spans="1:11" s="17" customFormat="1" x14ac:dyDescent="0.3">
      <c r="A65" s="150" t="s">
        <v>172</v>
      </c>
      <c r="B65" s="166" t="s">
        <v>357</v>
      </c>
      <c r="C65" s="31" t="s">
        <v>35</v>
      </c>
      <c r="D65" s="32">
        <v>1</v>
      </c>
      <c r="E65" s="169">
        <f>IF(C65='modelos taxas'!$A$1,$C$28,IF(C65='modelos taxas'!$A$2,$C$29,IF(C65='modelos taxas'!$A$3,1)))</f>
        <v>5.7603</v>
      </c>
      <c r="F65" s="169">
        <f t="shared" si="3"/>
        <v>5.7603</v>
      </c>
      <c r="G65" s="124"/>
      <c r="H65" s="124"/>
      <c r="I65" s="115">
        <f>IF(C65='modelos taxas'!$A$1,$C$28,IF(C65='modelos taxas'!$A$2,$C$29,IF(C65='modelos taxas'!$A$3,1)))</f>
        <v>5.7603</v>
      </c>
      <c r="J65" s="115"/>
      <c r="K65" s="116">
        <f>D65*I65</f>
        <v>5.7603</v>
      </c>
    </row>
    <row r="66" spans="1:11" s="17" customFormat="1" x14ac:dyDescent="0.3">
      <c r="A66" s="150" t="s">
        <v>172</v>
      </c>
      <c r="B66" s="166" t="s">
        <v>358</v>
      </c>
      <c r="C66" s="31" t="s">
        <v>35</v>
      </c>
      <c r="D66" s="32">
        <v>1</v>
      </c>
      <c r="E66" s="169">
        <f>IF(C66='modelos taxas'!$A$1,$C$28,IF(C66='modelos taxas'!$A$2,$C$29,IF(C66='modelos taxas'!$A$3,1)))</f>
        <v>5.7603</v>
      </c>
      <c r="F66" s="169">
        <f t="shared" si="3"/>
        <v>5.7603</v>
      </c>
      <c r="G66" s="124"/>
      <c r="H66" s="124"/>
      <c r="I66" s="115">
        <f>IF(C66='modelos taxas'!$A$1,$C$28,IF(C66='modelos taxas'!$A$2,$C$29,IF(C66='modelos taxas'!$A$3,1)))</f>
        <v>5.7603</v>
      </c>
      <c r="J66" s="115"/>
      <c r="K66" s="116">
        <f>D66*I66</f>
        <v>5.7603</v>
      </c>
    </row>
    <row r="67" spans="1:11" s="17" customFormat="1" x14ac:dyDescent="0.3">
      <c r="A67" s="150" t="s">
        <v>172</v>
      </c>
      <c r="B67" s="166" t="s">
        <v>359</v>
      </c>
      <c r="C67" s="31" t="s">
        <v>35</v>
      </c>
      <c r="D67" s="32">
        <v>1</v>
      </c>
      <c r="E67" s="169">
        <f>IF(C67='modelos taxas'!$A$1,$C$28,IF(C67='modelos taxas'!$A$2,$C$29,IF(C67='modelos taxas'!$A$3,1)))</f>
        <v>5.7603</v>
      </c>
      <c r="F67" s="169">
        <f t="shared" si="3"/>
        <v>5.7603</v>
      </c>
      <c r="G67" s="124"/>
      <c r="H67" s="124"/>
      <c r="I67" s="115">
        <f>IF(C67='modelos taxas'!$A$1,$C$28,IF(C67='modelos taxas'!$A$2,$C$29,IF(C67='modelos taxas'!$A$3,1)))</f>
        <v>5.7603</v>
      </c>
      <c r="J67" s="115"/>
      <c r="K67" s="116">
        <f t="shared" ref="K67:K74" si="4">D67*I67</f>
        <v>5.7603</v>
      </c>
    </row>
    <row r="68" spans="1:11" s="17" customFormat="1" x14ac:dyDescent="0.3">
      <c r="A68" s="150" t="s">
        <v>172</v>
      </c>
      <c r="B68" s="166" t="s">
        <v>360</v>
      </c>
      <c r="C68" s="31" t="s">
        <v>35</v>
      </c>
      <c r="D68" s="32">
        <v>1</v>
      </c>
      <c r="E68" s="169">
        <f>IF(C68='modelos taxas'!$A$1,$C$28,IF(C68='modelos taxas'!$A$2,$C$29,IF(C68='modelos taxas'!$A$3,1)))</f>
        <v>5.7603</v>
      </c>
      <c r="F68" s="169">
        <f t="shared" si="3"/>
        <v>5.7603</v>
      </c>
      <c r="G68" s="124"/>
      <c r="H68" s="124"/>
      <c r="I68" s="115">
        <f>IF(C68='modelos taxas'!$A$1,$C$28,IF(C68='modelos taxas'!$A$2,$C$29,IF(C68='modelos taxas'!$A$3,1)))</f>
        <v>5.7603</v>
      </c>
      <c r="J68" s="115"/>
      <c r="K68" s="116">
        <f>D68*I68</f>
        <v>5.7603</v>
      </c>
    </row>
    <row r="69" spans="1:11" s="17" customFormat="1" x14ac:dyDescent="0.3">
      <c r="A69" s="149" t="s">
        <v>172</v>
      </c>
      <c r="B69" s="165" t="s">
        <v>346</v>
      </c>
      <c r="C69" s="159" t="s">
        <v>98</v>
      </c>
      <c r="D69" s="160">
        <v>1</v>
      </c>
      <c r="E69" s="168">
        <f>IF(C69='modelos taxas'!$A$1,$C$28,IF(C69='modelos taxas'!$A$2,$C$29,IF(C69='modelos taxas'!$A$3,1)))</f>
        <v>1</v>
      </c>
      <c r="F69" s="168">
        <f t="shared" ref="F69" si="5">D69*E69</f>
        <v>1</v>
      </c>
      <c r="G69" s="124"/>
      <c r="H69" s="124"/>
      <c r="I69" s="115">
        <f>IF(C69='modelos taxas'!$A$1,$C$28,IF(C69='modelos taxas'!$A$2,$C$29,IF(C69='modelos taxas'!$A$3,1)))</f>
        <v>1</v>
      </c>
      <c r="J69" s="115"/>
      <c r="K69" s="116">
        <f t="shared" si="4"/>
        <v>1</v>
      </c>
    </row>
    <row r="70" spans="1:11" s="17" customFormat="1" x14ac:dyDescent="0.3">
      <c r="A70" s="151" t="s">
        <v>172</v>
      </c>
      <c r="B70" s="167" t="s">
        <v>350</v>
      </c>
      <c r="C70" s="161" t="s">
        <v>98</v>
      </c>
      <c r="D70" s="162">
        <v>1</v>
      </c>
      <c r="E70" s="170">
        <f>IF(C70='modelos taxas'!$A$1,$C$28,IF(C70='modelos taxas'!$A$2,$C$29,IF(C70='modelos taxas'!$A$3,1)))</f>
        <v>1</v>
      </c>
      <c r="F70" s="170">
        <f t="shared" ref="F70:F74" si="6">D70*E70</f>
        <v>1</v>
      </c>
      <c r="G70" s="124"/>
      <c r="H70" s="124"/>
      <c r="I70" s="115">
        <f>IF(C70='modelos taxas'!$A$1,$C$28,IF(C70='modelos taxas'!$A$2,$C$29,IF(C70='modelos taxas'!$A$3,1)))</f>
        <v>1</v>
      </c>
      <c r="J70" s="115"/>
      <c r="K70" s="116">
        <f t="shared" si="4"/>
        <v>1</v>
      </c>
    </row>
    <row r="71" spans="1:11" s="17" customFormat="1" x14ac:dyDescent="0.3">
      <c r="A71" s="150" t="s">
        <v>172</v>
      </c>
      <c r="B71" s="166" t="s">
        <v>361</v>
      </c>
      <c r="C71" s="31" t="s">
        <v>98</v>
      </c>
      <c r="D71" s="32">
        <v>1</v>
      </c>
      <c r="E71" s="169">
        <f>IF(C71='modelos taxas'!$A$1,$C$28,IF(C71='modelos taxas'!$A$2,$C$29,IF(C71='modelos taxas'!$A$3,1)))</f>
        <v>1</v>
      </c>
      <c r="F71" s="169">
        <f t="shared" si="6"/>
        <v>1</v>
      </c>
      <c r="G71" s="299"/>
      <c r="H71" s="300"/>
      <c r="I71" s="300"/>
      <c r="J71" s="300"/>
      <c r="K71" s="300"/>
    </row>
    <row r="72" spans="1:11" s="17" customFormat="1" x14ac:dyDescent="0.3">
      <c r="A72" s="150" t="s">
        <v>172</v>
      </c>
      <c r="B72" s="166" t="s">
        <v>345</v>
      </c>
      <c r="C72" s="31" t="s">
        <v>98</v>
      </c>
      <c r="D72" s="32">
        <v>1</v>
      </c>
      <c r="E72" s="169">
        <f>IF(C72='modelos taxas'!$A$1,$C$28,IF(C72='modelos taxas'!$A$2,$C$29,IF(C72='modelos taxas'!$A$3,1)))</f>
        <v>1</v>
      </c>
      <c r="F72" s="169">
        <f t="shared" si="6"/>
        <v>1</v>
      </c>
      <c r="G72" s="126"/>
      <c r="H72" s="126"/>
      <c r="I72" s="126"/>
      <c r="J72" s="126"/>
      <c r="K72" s="126"/>
    </row>
    <row r="73" spans="1:11" s="17" customFormat="1" x14ac:dyDescent="0.3">
      <c r="A73" s="150" t="s">
        <v>172</v>
      </c>
      <c r="B73" s="166" t="s">
        <v>250</v>
      </c>
      <c r="C73" s="31" t="s">
        <v>98</v>
      </c>
      <c r="D73" s="32">
        <v>1</v>
      </c>
      <c r="E73" s="169">
        <f>IF(C73='modelos taxas'!$A$1,$C$28,IF(C73='modelos taxas'!$A$2,$C$29,IF(C73='modelos taxas'!$A$3,1)))</f>
        <v>1</v>
      </c>
      <c r="F73" s="169">
        <f t="shared" si="6"/>
        <v>1</v>
      </c>
      <c r="G73" s="126"/>
      <c r="H73" s="126"/>
      <c r="I73" s="126"/>
      <c r="J73" s="126"/>
      <c r="K73" s="126"/>
    </row>
    <row r="74" spans="1:11" s="17" customFormat="1" x14ac:dyDescent="0.3">
      <c r="A74" s="151" t="s">
        <v>172</v>
      </c>
      <c r="B74" s="167" t="s">
        <v>249</v>
      </c>
      <c r="C74" s="31" t="s">
        <v>98</v>
      </c>
      <c r="D74" s="32">
        <v>1</v>
      </c>
      <c r="E74" s="170">
        <f>IF(C74='modelos taxas'!$A$1,$C$28,IF(C74='modelos taxas'!$A$2,$C$29,IF(C74='modelos taxas'!$A$3,1)))</f>
        <v>1</v>
      </c>
      <c r="F74" s="170">
        <f t="shared" si="6"/>
        <v>1</v>
      </c>
      <c r="G74" s="124"/>
      <c r="H74" s="124"/>
      <c r="I74" s="115">
        <f>IF(C74='modelos taxas'!$A$1,$C$28,IF(C74='modelos taxas'!$A$2,$C$29,IF(C74='modelos taxas'!$A$3,1)))</f>
        <v>1</v>
      </c>
      <c r="J74" s="115"/>
      <c r="K74" s="116">
        <f t="shared" si="4"/>
        <v>1</v>
      </c>
    </row>
    <row r="75" spans="1:11" s="17" customFormat="1" x14ac:dyDescent="0.3">
      <c r="A75" s="159"/>
      <c r="B75" s="179"/>
      <c r="C75" s="179"/>
      <c r="D75" s="179"/>
      <c r="E75" s="177"/>
      <c r="F75" s="178">
        <f>SUM(F57:F74)</f>
        <v>49.322099999999999</v>
      </c>
      <c r="G75" s="125"/>
      <c r="H75" s="125"/>
      <c r="I75" s="35"/>
      <c r="J75" s="35"/>
      <c r="K75" s="35"/>
    </row>
    <row r="76" spans="1:11" s="17" customFormat="1" x14ac:dyDescent="0.3">
      <c r="B76" s="295" t="s">
        <v>198</v>
      </c>
      <c r="C76" s="295"/>
      <c r="D76" s="180"/>
      <c r="E76" s="11"/>
      <c r="F76" s="11"/>
    </row>
    <row r="77" spans="1:11" s="17" customFormat="1" x14ac:dyDescent="0.3">
      <c r="B77" s="13" t="s">
        <v>35</v>
      </c>
      <c r="C77" s="181">
        <f ca="1">SUMIF(C57:D74,"DÓLAR",D57:D74)</f>
        <v>7</v>
      </c>
      <c r="D77" s="180"/>
      <c r="E77" s="11"/>
      <c r="F77" s="11"/>
    </row>
    <row r="78" spans="1:11" s="17" customFormat="1" x14ac:dyDescent="0.3">
      <c r="B78" s="13" t="s">
        <v>36</v>
      </c>
      <c r="C78" s="182">
        <f ca="1">SUMIF(C57:D74,"EURO",D57:D74)</f>
        <v>0</v>
      </c>
      <c r="D78" s="11"/>
      <c r="E78" s="11"/>
      <c r="F78" s="11"/>
    </row>
    <row r="79" spans="1:11" s="17" customFormat="1" x14ac:dyDescent="0.3">
      <c r="B79" s="13" t="s">
        <v>98</v>
      </c>
      <c r="C79" s="182">
        <f ca="1">SUMIF(C57:D74,"REAIS",D57:D74)</f>
        <v>9</v>
      </c>
      <c r="D79" s="11"/>
      <c r="E79" s="11"/>
      <c r="F79" s="11"/>
    </row>
    <row r="80" spans="1:11" s="17" customFormat="1" x14ac:dyDescent="0.3">
      <c r="B80" s="11"/>
      <c r="C80" s="183"/>
      <c r="D80" s="11"/>
      <c r="E80" s="11"/>
      <c r="F80" s="11"/>
    </row>
    <row r="81" spans="1:1" s="17" customFormat="1" x14ac:dyDescent="0.3"/>
    <row r="82" spans="1:1" s="17" customFormat="1" x14ac:dyDescent="0.3"/>
    <row r="83" spans="1:1" s="17" customFormat="1" x14ac:dyDescent="0.3"/>
    <row r="84" spans="1:1" s="17" customFormat="1" x14ac:dyDescent="0.3"/>
    <row r="85" spans="1:1" s="17" customFormat="1" x14ac:dyDescent="0.3"/>
    <row r="86" spans="1:1" s="17" customFormat="1" x14ac:dyDescent="0.3"/>
    <row r="87" spans="1:1" s="17" customFormat="1" x14ac:dyDescent="0.3">
      <c r="A87" s="60" t="s">
        <v>171</v>
      </c>
    </row>
    <row r="88" spans="1:1" s="17" customFormat="1" x14ac:dyDescent="0.3"/>
    <row r="89" spans="1:1" s="17" customFormat="1" x14ac:dyDescent="0.3"/>
    <row r="90" spans="1:1" s="17" customFormat="1" x14ac:dyDescent="0.3"/>
    <row r="91" spans="1:1" s="17" customFormat="1" x14ac:dyDescent="0.3"/>
    <row r="92" spans="1:1" s="17" customFormat="1" x14ac:dyDescent="0.3"/>
    <row r="93" spans="1:1" s="17" customFormat="1" x14ac:dyDescent="0.3"/>
    <row r="94" spans="1:1" s="17" customFormat="1" x14ac:dyDescent="0.3"/>
    <row r="95" spans="1:1" s="17" customFormat="1" x14ac:dyDescent="0.3"/>
    <row r="96" spans="1:1"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row r="131" s="17" customFormat="1" x14ac:dyDescent="0.3"/>
    <row r="132" s="17" customFormat="1" x14ac:dyDescent="0.3"/>
    <row r="133" s="17" customFormat="1" x14ac:dyDescent="0.3"/>
    <row r="134" s="17" customFormat="1" x14ac:dyDescent="0.3"/>
  </sheetData>
  <sheetProtection formatCells="0" formatColumns="0" formatRows="0" insertColumns="0" insertRows="0" deleteColumns="0" deleteRows="0" sort="0" autoFilter="0"/>
  <mergeCells count="6">
    <mergeCell ref="B76:C76"/>
    <mergeCell ref="B5:C5"/>
    <mergeCell ref="B27:C27"/>
    <mergeCell ref="B54:E54"/>
    <mergeCell ref="G71:K71"/>
    <mergeCell ref="B26:C26"/>
  </mergeCells>
  <phoneticPr fontId="20" type="noConversion"/>
  <pageMargins left="0.511811024" right="0.511811024" top="0.78740157499999996" bottom="0.78740157499999996" header="0.31496062000000002" footer="0.31496062000000002"/>
  <pageSetup paperSize="9"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'modelos taxas'!$E$3:$E$5</xm:f>
          </x14:formula1>
          <xm:sqref>C15</xm:sqref>
        </x14:dataValidation>
        <x14:dataValidation type="list" allowBlank="1" showInputMessage="1" showErrorMessage="1" xr:uid="{00000000-0002-0000-0100-000001000000}">
          <x14:formula1>
            <xm:f>'modelos taxas'!$G$3:$G$13</xm:f>
          </x14:formula1>
          <xm:sqref>C14</xm:sqref>
        </x14:dataValidation>
        <x14:dataValidation type="list" allowBlank="1" showInputMessage="1" showErrorMessage="1" xr:uid="{00000000-0002-0000-0100-000002000000}">
          <x14:formula1>
            <xm:f>'modelos taxas'!$A$14:$A$15</xm:f>
          </x14:formula1>
          <xm:sqref>C36</xm:sqref>
        </x14:dataValidation>
        <x14:dataValidation type="list" allowBlank="1" showInputMessage="1" showErrorMessage="1" xr:uid="{5EA5E7B0-7172-419A-A8A8-223EC5A3C582}">
          <x14:formula1>
            <xm:f>'modelos taxas'!$A$170:$A$196</xm:f>
          </x14:formula1>
          <xm:sqref>C17</xm:sqref>
        </x14:dataValidation>
        <x14:dataValidation type="list" allowBlank="1" showInputMessage="1" showErrorMessage="1" xr:uid="{D271F7FD-84A3-4761-A975-CA5616F2A18F}">
          <x14:formula1>
            <xm:f>'modelos taxas'!$A$29:$A$30</xm:f>
          </x14:formula1>
          <xm:sqref>A61 A63:A74</xm:sqref>
        </x14:dataValidation>
        <x14:dataValidation type="list" allowBlank="1" showInputMessage="1" showErrorMessage="1" xr:uid="{165671D9-B078-4BC3-BB2D-3E1BE7C93BB9}">
          <x14:formula1>
            <xm:f>'modelos taxas'!$O$18:$O$24</xm:f>
          </x14:formula1>
          <xm:sqref>L39:L48</xm:sqref>
        </x14:dataValidation>
        <x14:dataValidation type="list" allowBlank="1" showInputMessage="1" showErrorMessage="1" xr:uid="{00000000-0002-0000-0100-000005000000}">
          <x14:formula1>
            <xm:f>'modelos taxas'!$A$1:$A$3</xm:f>
          </x14:formula1>
          <xm:sqref>C57:C74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AB123"/>
  <sheetViews>
    <sheetView showGridLines="0" tabSelected="1" zoomScaleNormal="100" workbookViewId="0">
      <selection activeCell="I8" sqref="I8"/>
    </sheetView>
  </sheetViews>
  <sheetFormatPr defaultColWidth="8.77734375" defaultRowHeight="14.4" x14ac:dyDescent="0.3"/>
  <cols>
    <col min="1" max="1" width="4.77734375" style="157" customWidth="1"/>
    <col min="2" max="2" width="52.21875" style="157" bestFit="1" customWidth="1"/>
    <col min="3" max="3" width="19.77734375" style="157" bestFit="1" customWidth="1"/>
    <col min="4" max="4" width="15" style="157" bestFit="1" customWidth="1"/>
    <col min="5" max="5" width="17.5546875" style="157" customWidth="1"/>
    <col min="6" max="6" width="13.77734375" style="157" bestFit="1" customWidth="1"/>
    <col min="7" max="7" width="22.77734375" style="157" customWidth="1"/>
    <col min="8" max="8" width="11.5546875" style="157" customWidth="1"/>
    <col min="9" max="9" width="14.21875" style="157" customWidth="1"/>
    <col min="10" max="12" width="15.5546875" style="157" customWidth="1"/>
    <col min="13" max="13" width="15.77734375" style="157" bestFit="1" customWidth="1"/>
    <col min="14" max="14" width="12.21875" style="157" bestFit="1" customWidth="1"/>
    <col min="15" max="15" width="15.77734375" style="216" bestFit="1" customWidth="1"/>
    <col min="16" max="16" width="12.77734375" style="157" customWidth="1"/>
    <col min="17" max="17" width="12.5546875" style="157" bestFit="1" customWidth="1"/>
    <col min="18" max="18" width="12.21875" style="157" bestFit="1" customWidth="1"/>
    <col min="19" max="19" width="15.77734375" style="157" bestFit="1" customWidth="1"/>
    <col min="20" max="20" width="12.21875" style="157" customWidth="1"/>
    <col min="21" max="21" width="15.77734375" style="157" bestFit="1" customWidth="1"/>
    <col min="22" max="22" width="12.21875" style="157" bestFit="1" customWidth="1"/>
    <col min="23" max="23" width="15.77734375" style="157" bestFit="1" customWidth="1"/>
    <col min="24" max="24" width="11.44140625" style="157" customWidth="1"/>
    <col min="25" max="25" width="12.77734375" style="157" customWidth="1"/>
    <col min="26" max="26" width="13.21875" style="157" customWidth="1"/>
    <col min="27" max="27" width="10.44140625" style="157" customWidth="1"/>
    <col min="28" max="16384" width="8.77734375" style="157"/>
  </cols>
  <sheetData>
    <row r="3" spans="2:22" ht="16.2" thickBot="1" x14ac:dyDescent="0.35">
      <c r="B3" s="217"/>
      <c r="C3" s="217"/>
      <c r="D3" s="217"/>
      <c r="E3" s="217"/>
      <c r="F3" s="218"/>
      <c r="G3" s="219"/>
      <c r="H3" s="217"/>
      <c r="I3" s="217"/>
    </row>
    <row r="4" spans="2:22" ht="15.6" x14ac:dyDescent="0.3">
      <c r="B4" s="220"/>
      <c r="C4" s="221"/>
      <c r="D4" s="221"/>
      <c r="E4" s="221"/>
      <c r="F4" s="222"/>
      <c r="G4" s="223"/>
      <c r="H4" s="217"/>
      <c r="I4" s="217"/>
    </row>
    <row r="5" spans="2:22" ht="15.6" x14ac:dyDescent="0.3">
      <c r="B5" s="224"/>
      <c r="C5" s="225"/>
      <c r="D5" s="217"/>
      <c r="G5" s="226"/>
      <c r="H5" s="217"/>
      <c r="I5" s="217"/>
    </row>
    <row r="6" spans="2:22" ht="15.6" x14ac:dyDescent="0.3">
      <c r="B6" s="227"/>
      <c r="C6" s="225"/>
      <c r="F6" s="307">
        <f ca="1">TODAY()</f>
        <v>45804</v>
      </c>
      <c r="G6" s="308"/>
      <c r="H6" s="217"/>
    </row>
    <row r="7" spans="2:22" ht="16.2" thickBot="1" x14ac:dyDescent="0.35">
      <c r="B7" s="228"/>
      <c r="C7" s="229"/>
      <c r="D7" s="230"/>
      <c r="E7" s="230"/>
      <c r="F7" s="230"/>
      <c r="G7" s="231"/>
      <c r="H7" s="217"/>
    </row>
    <row r="8" spans="2:22" ht="23.7" customHeight="1" x14ac:dyDescent="0.3">
      <c r="B8" s="314" t="s">
        <v>154</v>
      </c>
      <c r="C8" s="315"/>
      <c r="D8" s="315"/>
      <c r="E8" s="315"/>
      <c r="F8" s="315"/>
      <c r="G8" s="316"/>
      <c r="H8" s="217"/>
      <c r="O8" s="157"/>
    </row>
    <row r="9" spans="2:22" ht="15.6" x14ac:dyDescent="0.3">
      <c r="B9" s="232" t="s">
        <v>62</v>
      </c>
      <c r="C9" s="233">
        <f>'Dados à Preencher'!C7</f>
        <v>0</v>
      </c>
      <c r="D9" s="234" t="s">
        <v>63</v>
      </c>
      <c r="E9" s="235"/>
      <c r="F9" s="317">
        <f>'Dados à Preencher'!C10</f>
        <v>0</v>
      </c>
      <c r="G9" s="318"/>
      <c r="H9" s="217"/>
      <c r="O9" s="157"/>
    </row>
    <row r="10" spans="2:22" ht="15.6" x14ac:dyDescent="0.3">
      <c r="B10" s="232" t="s">
        <v>105</v>
      </c>
      <c r="C10" s="233">
        <f>'Dados à Preencher'!C8</f>
        <v>0</v>
      </c>
      <c r="D10" s="234" t="s">
        <v>64</v>
      </c>
      <c r="E10" s="236"/>
      <c r="F10" s="317">
        <f>'Dados à Preencher'!C11</f>
        <v>0</v>
      </c>
      <c r="G10" s="318"/>
      <c r="H10" s="217"/>
      <c r="O10" s="157"/>
    </row>
    <row r="11" spans="2:22" ht="15.6" x14ac:dyDescent="0.3">
      <c r="B11" s="232" t="s">
        <v>111</v>
      </c>
      <c r="C11" s="237" t="s">
        <v>35</v>
      </c>
      <c r="D11" s="238">
        <f>'Dados à Preencher'!I28</f>
        <v>5.7603</v>
      </c>
      <c r="E11" s="236"/>
      <c r="F11" s="239"/>
      <c r="G11" s="240"/>
      <c r="H11" s="217"/>
      <c r="O11" s="157"/>
    </row>
    <row r="12" spans="2:22" ht="15.6" x14ac:dyDescent="0.3">
      <c r="B12" s="232"/>
      <c r="C12" s="237" t="s">
        <v>36</v>
      </c>
      <c r="D12" s="238">
        <f>'Dados à Preencher'!C29</f>
        <v>0</v>
      </c>
      <c r="E12" s="236"/>
      <c r="F12" s="239"/>
      <c r="G12" s="240"/>
      <c r="H12" s="217"/>
      <c r="O12" s="157"/>
    </row>
    <row r="13" spans="2:22" ht="15.6" x14ac:dyDescent="0.3">
      <c r="B13" s="232"/>
      <c r="C13" s="237"/>
      <c r="D13" s="236"/>
      <c r="E13" s="236"/>
      <c r="F13" s="236"/>
      <c r="G13" s="240"/>
      <c r="H13" s="217"/>
      <c r="O13" s="157"/>
    </row>
    <row r="14" spans="2:22" ht="16.2" customHeight="1" x14ac:dyDescent="0.3">
      <c r="B14" s="241" t="s">
        <v>4</v>
      </c>
      <c r="C14" s="242" t="s">
        <v>48</v>
      </c>
      <c r="D14" s="242"/>
      <c r="E14" s="242"/>
      <c r="F14" s="242" t="s">
        <v>6</v>
      </c>
      <c r="G14" s="243" t="s">
        <v>7</v>
      </c>
      <c r="H14" s="217"/>
      <c r="O14" s="157"/>
      <c r="V14" s="217"/>
    </row>
    <row r="15" spans="2:22" ht="15.6" x14ac:dyDescent="0.3">
      <c r="B15" s="244" t="str">
        <f>'Dados à Preencher'!C14</f>
        <v>FOB</v>
      </c>
      <c r="C15" s="245" t="str">
        <f>'Dados à Preencher'!C15</f>
        <v>MARÍTIMO</v>
      </c>
      <c r="D15" s="245"/>
      <c r="E15" s="245"/>
      <c r="F15" s="245">
        <f>'Dados à Preencher'!C16</f>
        <v>0</v>
      </c>
      <c r="G15" s="246" t="str">
        <f>'Dados à Preencher'!C17</f>
        <v>SC</v>
      </c>
      <c r="H15" s="217"/>
      <c r="O15" s="157"/>
      <c r="V15" s="217"/>
    </row>
    <row r="16" spans="2:22" ht="18" customHeight="1" x14ac:dyDescent="0.3">
      <c r="B16" s="241" t="s">
        <v>49</v>
      </c>
      <c r="C16" s="242" t="s">
        <v>9</v>
      </c>
      <c r="D16" s="242" t="s">
        <v>34</v>
      </c>
      <c r="E16" s="242"/>
      <c r="F16" s="242" t="s">
        <v>50</v>
      </c>
      <c r="G16" s="243" t="s">
        <v>51</v>
      </c>
      <c r="H16" s="217"/>
      <c r="O16" s="157"/>
      <c r="V16" s="217"/>
    </row>
    <row r="17" spans="2:28" ht="15.6" x14ac:dyDescent="0.3">
      <c r="B17" s="244">
        <f>'Dados à Preencher'!C18</f>
        <v>0</v>
      </c>
      <c r="C17" s="245">
        <f>'Dados à Preencher'!C19</f>
        <v>1</v>
      </c>
      <c r="D17" s="247">
        <f>'Dados à Preencher'!C49</f>
        <v>1000</v>
      </c>
      <c r="E17" s="245"/>
      <c r="F17" s="247" t="str">
        <f>'Dados à Preencher'!C20</f>
        <v>-</v>
      </c>
      <c r="G17" s="246" t="str">
        <f>'Dados à Preencher'!C21</f>
        <v>1x40HC</v>
      </c>
      <c r="H17" s="217" t="s">
        <v>241</v>
      </c>
      <c r="O17" s="157"/>
      <c r="V17" s="217"/>
    </row>
    <row r="18" spans="2:28" ht="19.95" customHeight="1" x14ac:dyDescent="0.3">
      <c r="B18" s="241" t="s">
        <v>52</v>
      </c>
      <c r="C18" s="242" t="s">
        <v>53</v>
      </c>
      <c r="D18" s="242"/>
      <c r="E18" s="312"/>
      <c r="F18" s="312"/>
      <c r="G18" s="243" t="s">
        <v>54</v>
      </c>
      <c r="H18" s="217"/>
      <c r="I18" s="248"/>
      <c r="J18" s="248"/>
      <c r="K18" s="248"/>
      <c r="L18" s="248"/>
      <c r="M18" s="248"/>
      <c r="O18" s="157"/>
      <c r="V18" s="217"/>
    </row>
    <row r="19" spans="2:28" ht="15.6" x14ac:dyDescent="0.3">
      <c r="B19" s="244" t="str">
        <f>'Dados à Preencher'!C22</f>
        <v>-</v>
      </c>
      <c r="C19" s="245" t="str">
        <f>'Dados à Preencher'!C23</f>
        <v>-</v>
      </c>
      <c r="D19" s="245"/>
      <c r="E19" s="313"/>
      <c r="F19" s="313"/>
      <c r="G19" s="249" t="e">
        <f>'Dados à Preencher'!#REF!</f>
        <v>#REF!</v>
      </c>
      <c r="H19" s="217"/>
      <c r="O19" s="157"/>
      <c r="V19" s="217"/>
    </row>
    <row r="20" spans="2:28" ht="18.45" customHeight="1" x14ac:dyDescent="0.3">
      <c r="B20" s="309" t="s">
        <v>74</v>
      </c>
      <c r="C20" s="310"/>
      <c r="D20" s="310"/>
      <c r="E20" s="310"/>
      <c r="F20" s="310"/>
      <c r="G20" s="311"/>
      <c r="H20" s="217"/>
      <c r="O20" s="157"/>
      <c r="V20" s="217"/>
    </row>
    <row r="21" spans="2:28" ht="15.6" x14ac:dyDescent="0.3">
      <c r="B21" s="241" t="s">
        <v>55</v>
      </c>
      <c r="C21" s="242"/>
      <c r="D21" s="242" t="s">
        <v>116</v>
      </c>
      <c r="E21" s="242" t="s">
        <v>61</v>
      </c>
      <c r="F21" s="242" t="s">
        <v>56</v>
      </c>
      <c r="G21" s="243" t="s">
        <v>57</v>
      </c>
      <c r="H21" s="217"/>
      <c r="O21" s="157"/>
      <c r="V21" s="217"/>
    </row>
    <row r="22" spans="2:28" ht="15.6" x14ac:dyDescent="0.3">
      <c r="B22" s="152" t="s">
        <v>106</v>
      </c>
      <c r="C22" s="153"/>
      <c r="D22" s="153"/>
      <c r="E22" s="154">
        <f>IFERROR((G22/'Dados à Preencher'!$C$29),0)</f>
        <v>0</v>
      </c>
      <c r="F22" s="155">
        <f>IFERROR((G22/'Dados à Preencher'!$C$28),0)</f>
        <v>5000</v>
      </c>
      <c r="G22" s="156">
        <f>'Custo Internado Itens'!F14</f>
        <v>28801.5</v>
      </c>
      <c r="H22" s="250"/>
      <c r="O22" s="157"/>
      <c r="V22" s="217"/>
    </row>
    <row r="23" spans="2:28" ht="16.95" customHeight="1" x14ac:dyDescent="0.3">
      <c r="B23" s="152" t="s">
        <v>150</v>
      </c>
      <c r="C23" s="153"/>
      <c r="D23" s="153"/>
      <c r="E23" s="154">
        <f>IFERROR((G23/'Dados à Preencher'!$C$29),0)</f>
        <v>0</v>
      </c>
      <c r="F23" s="155">
        <f>IFERROR((G23/'Dados à Preencher'!$C$28),0)</f>
        <v>0</v>
      </c>
      <c r="G23" s="156">
        <f>'Custo Internado Itens'!I14</f>
        <v>0</v>
      </c>
      <c r="H23" s="250"/>
      <c r="O23" s="157"/>
      <c r="V23" s="217"/>
    </row>
    <row r="24" spans="2:28" ht="15.6" x14ac:dyDescent="0.3">
      <c r="B24" s="152" t="s">
        <v>151</v>
      </c>
      <c r="C24" s="153"/>
      <c r="D24" s="153"/>
      <c r="E24" s="154">
        <f>IFERROR((G24/'Dados à Preencher'!$C$29),0)</f>
        <v>0</v>
      </c>
      <c r="F24" s="155">
        <f>IFERROR((G24/'Dados à Preencher'!$C$28),0)</f>
        <v>1</v>
      </c>
      <c r="G24" s="156">
        <f>'Dados à Preencher'!K57</f>
        <v>5.7603</v>
      </c>
      <c r="H24" s="251"/>
      <c r="AB24" s="217"/>
    </row>
    <row r="25" spans="2:28" ht="15.6" x14ac:dyDescent="0.3">
      <c r="B25" s="152" t="s">
        <v>152</v>
      </c>
      <c r="C25" s="153"/>
      <c r="D25" s="153"/>
      <c r="E25" s="154">
        <f ca="1">IFERROR((G25/'Dados à Preencher'!$C$29),0)</f>
        <v>0</v>
      </c>
      <c r="F25" s="155">
        <f ca="1">IFERROR((G25/'Dados à Preencher'!$C$28),0)</f>
        <v>1</v>
      </c>
      <c r="G25" s="156">
        <f ca="1">SUMIF('Dados à Preencher'!$A$57:$F$74,'Dados à Preencher'!A87,'Dados à Preencher'!$K$57:$K$74)</f>
        <v>5.7603</v>
      </c>
      <c r="H25" s="251"/>
      <c r="AB25" s="217"/>
    </row>
    <row r="26" spans="2:28" ht="15.6" x14ac:dyDescent="0.3">
      <c r="B26" s="152" t="s">
        <v>201</v>
      </c>
      <c r="C26" s="153"/>
      <c r="D26" s="153"/>
      <c r="E26" s="154">
        <f>IFERROR((G26/'Dados à Preencher'!$C$29),0)</f>
        <v>0</v>
      </c>
      <c r="F26" s="155">
        <f>IFERROR((G26/'Dados à Preencher'!$C$28),0)</f>
        <v>1</v>
      </c>
      <c r="G26" s="156">
        <f>'Dados à Preencher'!K58</f>
        <v>5.7603</v>
      </c>
      <c r="H26" s="217"/>
      <c r="AB26" s="217"/>
    </row>
    <row r="27" spans="2:28" ht="15.6" hidden="1" customHeight="1" x14ac:dyDescent="0.3">
      <c r="B27" s="152" t="s">
        <v>58</v>
      </c>
      <c r="C27" s="153"/>
      <c r="D27" s="153"/>
      <c r="E27" s="154">
        <f ca="1">IFERROR((G27/'Dados à Preencher'!$C$29),0)</f>
        <v>0</v>
      </c>
      <c r="F27" s="158">
        <f ca="1">SUM(F22:F26)</f>
        <v>5003</v>
      </c>
      <c r="G27" s="156">
        <f ca="1">SUM(G22:G26)</f>
        <v>28818.780900000005</v>
      </c>
      <c r="H27" s="252"/>
      <c r="AB27" s="217"/>
    </row>
    <row r="28" spans="2:28" ht="15.6" hidden="1" customHeight="1" x14ac:dyDescent="0.3">
      <c r="B28" s="152"/>
      <c r="C28" s="153"/>
      <c r="D28" s="153"/>
      <c r="E28" s="154">
        <f>IFERROR((G28/'Dados à Preencher'!$C$29),0)</f>
        <v>0</v>
      </c>
      <c r="F28" s="158"/>
      <c r="G28" s="156"/>
      <c r="H28" s="217"/>
    </row>
    <row r="29" spans="2:28" ht="15.6" x14ac:dyDescent="0.3">
      <c r="B29" s="152" t="s">
        <v>112</v>
      </c>
      <c r="C29" s="153"/>
      <c r="D29" s="153"/>
      <c r="E29" s="154">
        <f ca="1">IFERROR((G29/'Dados à Preencher'!$C$29),0)</f>
        <v>0</v>
      </c>
      <c r="F29" s="158">
        <f ca="1">F27+F28</f>
        <v>5003</v>
      </c>
      <c r="G29" s="156">
        <f ca="1">G27+G28</f>
        <v>28818.780900000005</v>
      </c>
      <c r="H29" s="252"/>
    </row>
    <row r="30" spans="2:28" ht="15.6" x14ac:dyDescent="0.3">
      <c r="B30" s="301" t="s">
        <v>2</v>
      </c>
      <c r="C30" s="302"/>
      <c r="D30" s="302"/>
      <c r="E30" s="302"/>
      <c r="F30" s="302"/>
      <c r="G30" s="303"/>
      <c r="H30" s="252"/>
    </row>
    <row r="31" spans="2:28" ht="15.6" x14ac:dyDescent="0.3">
      <c r="B31" s="253" t="s">
        <v>366</v>
      </c>
      <c r="C31" s="254"/>
      <c r="D31" s="254"/>
      <c r="E31" s="255">
        <f>IFERROR((G31/'Dados à Preencher'!$I$29),0)</f>
        <v>0</v>
      </c>
      <c r="F31" s="256">
        <f>IFERROR((G31/'Dados à Preencher'!$I$28),0)</f>
        <v>5000</v>
      </c>
      <c r="G31" s="257">
        <f>G22</f>
        <v>28801.5</v>
      </c>
      <c r="H31" s="252"/>
    </row>
    <row r="32" spans="2:28" ht="15.6" x14ac:dyDescent="0.3">
      <c r="B32" s="301" t="s">
        <v>155</v>
      </c>
      <c r="C32" s="302"/>
      <c r="D32" s="302"/>
      <c r="E32" s="302"/>
      <c r="F32" s="302"/>
      <c r="G32" s="303"/>
      <c r="H32" s="258">
        <f>IF('Dados à Preencher'!C15='modelos taxas'!E3,8%,0%)</f>
        <v>0.08</v>
      </c>
      <c r="I32" s="259">
        <f>((G24+G46)*H32)+21.2</f>
        <v>21.740824</v>
      </c>
    </row>
    <row r="33" spans="2:12" ht="15.6" x14ac:dyDescent="0.3">
      <c r="B33" s="260" t="s">
        <v>159</v>
      </c>
      <c r="C33" s="261"/>
      <c r="D33" s="262">
        <f>'Dados à Preencher'!H49</f>
        <v>0.1</v>
      </c>
      <c r="E33" s="263">
        <f ca="1">IFERROR((G33/'Dados à Preencher'!$C$29),0)</f>
        <v>0</v>
      </c>
      <c r="F33" s="256">
        <f ca="1">IFERROR((G33/'Dados à Preencher'!$C$28),0)</f>
        <v>500.3</v>
      </c>
      <c r="G33" s="257">
        <f ca="1">'Custo Internado Itens'!K14</f>
        <v>2881.8780900000002</v>
      </c>
      <c r="H33" s="252"/>
    </row>
    <row r="34" spans="2:12" ht="15.6" x14ac:dyDescent="0.3">
      <c r="B34" s="321" t="s">
        <v>157</v>
      </c>
      <c r="C34" s="322"/>
      <c r="D34" s="266">
        <f>'Dados à Preencher'!I49</f>
        <v>0</v>
      </c>
      <c r="E34" s="263">
        <f ca="1">IFERROR((G34/'Dados à Preencher'!$C$29),0)</f>
        <v>0</v>
      </c>
      <c r="F34" s="256">
        <f ca="1">IFERROR((G34/'Dados à Preencher'!$C$28),0)</f>
        <v>0</v>
      </c>
      <c r="G34" s="257">
        <f ca="1">'Custo Internado Itens'!L14</f>
        <v>0</v>
      </c>
      <c r="H34" s="217"/>
    </row>
    <row r="35" spans="2:12" ht="15.6" x14ac:dyDescent="0.3">
      <c r="B35" s="321" t="s">
        <v>158</v>
      </c>
      <c r="C35" s="322"/>
      <c r="D35" s="262">
        <f>'Dados à Preencher'!J49</f>
        <v>2.1000000000000001E-2</v>
      </c>
      <c r="E35" s="263">
        <f ca="1">IFERROR((G35/'Dados à Preencher'!$C$29),0)</f>
        <v>0</v>
      </c>
      <c r="F35" s="256">
        <f ca="1">IFERROR((G35/'Dados à Preencher'!$C$28),0)</f>
        <v>105.06300000000002</v>
      </c>
      <c r="G35" s="257">
        <f ca="1">'Custo Internado Itens'!M14</f>
        <v>605.19439890000012</v>
      </c>
      <c r="H35" s="217"/>
    </row>
    <row r="36" spans="2:12" ht="15.6" x14ac:dyDescent="0.3">
      <c r="B36" s="321" t="s">
        <v>160</v>
      </c>
      <c r="C36" s="322"/>
      <c r="D36" s="266">
        <f>'Dados à Preencher'!K49</f>
        <v>9.6500000000000002E-2</v>
      </c>
      <c r="E36" s="263">
        <f ca="1">IFERROR((G36/'Dados à Preencher'!$C$29),0)</f>
        <v>0</v>
      </c>
      <c r="F36" s="256">
        <f ca="1">IFERROR((G36/'Dados à Preencher'!$C$28),0)</f>
        <v>482.78950000000003</v>
      </c>
      <c r="G36" s="257">
        <f ca="1">'Custo Internado Itens'!N14</f>
        <v>2781.0123568500003</v>
      </c>
      <c r="H36" s="217"/>
      <c r="L36" s="267"/>
    </row>
    <row r="37" spans="2:12" ht="15.6" x14ac:dyDescent="0.3">
      <c r="B37" s="321" t="s">
        <v>163</v>
      </c>
      <c r="C37" s="322"/>
      <c r="D37" s="268">
        <f>'Dados à Preencher'!M49</f>
        <v>0.17999999999999997</v>
      </c>
      <c r="E37" s="263">
        <f ca="1">IFERROR((G37/'Dados à Preencher'!$C$29),0)</f>
        <v>0</v>
      </c>
      <c r="F37" s="256">
        <f ca="1">IFERROR((G37/'Dados à Preencher'!$C$28),0)</f>
        <v>1343.7881120171587</v>
      </c>
      <c r="G37" s="257">
        <f ca="1">'Custo Internado Itens'!R14</f>
        <v>7740.6226616524391</v>
      </c>
      <c r="H37" s="250"/>
    </row>
    <row r="38" spans="2:12" ht="18.75" hidden="1" customHeight="1" x14ac:dyDescent="0.3">
      <c r="B38" s="321" t="s">
        <v>161</v>
      </c>
      <c r="C38" s="322"/>
      <c r="D38" s="269">
        <f>IFERROR('Dados à Preencher'!#REF!,0)</f>
        <v>0</v>
      </c>
      <c r="E38" s="263">
        <f>IFERROR((G38/'Dados à Preencher'!$C$29),0)</f>
        <v>0</v>
      </c>
      <c r="F38" s="256">
        <f>IFERROR((G38/'Dados à Preencher'!$C$28),0)</f>
        <v>0</v>
      </c>
      <c r="G38" s="257"/>
      <c r="H38" s="250"/>
    </row>
    <row r="39" spans="2:12" ht="15.6" x14ac:dyDescent="0.3">
      <c r="B39" s="321" t="s">
        <v>59</v>
      </c>
      <c r="C39" s="322"/>
      <c r="D39" s="322"/>
      <c r="E39" s="263">
        <f>IFERROR((G39/'Dados à Preencher'!$C$29),0)</f>
        <v>0</v>
      </c>
      <c r="F39" s="256">
        <f>IFERROR((G39/'Dados à Preencher'!$C$28),0)</f>
        <v>26.774647153794078</v>
      </c>
      <c r="G39" s="257">
        <f>'Custo Internado Itens'!O14</f>
        <v>154.23000000000002</v>
      </c>
      <c r="H39" s="251"/>
    </row>
    <row r="40" spans="2:12" ht="15.6" hidden="1" x14ac:dyDescent="0.3">
      <c r="B40" s="264" t="s">
        <v>248</v>
      </c>
      <c r="C40" s="265"/>
      <c r="D40" s="265"/>
      <c r="E40" s="263">
        <f>E23</f>
        <v>0</v>
      </c>
      <c r="F40" s="256">
        <f>F23</f>
        <v>0</v>
      </c>
      <c r="G40" s="257">
        <f>G23</f>
        <v>0</v>
      </c>
      <c r="H40" s="251"/>
    </row>
    <row r="41" spans="2:12" ht="18" customHeight="1" x14ac:dyDescent="0.3">
      <c r="B41" s="323" t="s">
        <v>162</v>
      </c>
      <c r="C41" s="324"/>
      <c r="D41" s="324"/>
      <c r="E41" s="263">
        <f>IFERROR((G41/'Dados à Preencher'!$C$29),0)</f>
        <v>0</v>
      </c>
      <c r="F41" s="256">
        <f>IFERROR((G41/'Dados à Preencher'!$C$28),0)</f>
        <v>3.7742520354842628</v>
      </c>
      <c r="G41" s="257">
        <f>IF(I32&gt;21.2,I32,0)</f>
        <v>21.740824</v>
      </c>
      <c r="I41" s="217"/>
    </row>
    <row r="42" spans="2:12" ht="15.6" x14ac:dyDescent="0.3">
      <c r="B42" s="319" t="s">
        <v>343</v>
      </c>
      <c r="C42" s="320"/>
      <c r="D42" s="320"/>
      <c r="E42" s="272">
        <f ca="1">SUM(E33:E41)</f>
        <v>0</v>
      </c>
      <c r="F42" s="273">
        <f ca="1">SUM(F33:F41)</f>
        <v>2462.4895112064369</v>
      </c>
      <c r="G42" s="274">
        <f ca="1">SUM(G33:G41)</f>
        <v>14184.67833140244</v>
      </c>
      <c r="H42" s="252"/>
      <c r="I42" s="217"/>
    </row>
    <row r="43" spans="2:12" ht="15.6" x14ac:dyDescent="0.3">
      <c r="B43" s="301" t="s">
        <v>169</v>
      </c>
      <c r="C43" s="302"/>
      <c r="D43" s="302"/>
      <c r="E43" s="302"/>
      <c r="F43" s="302"/>
      <c r="G43" s="303"/>
      <c r="H43" s="217"/>
      <c r="I43" s="217"/>
    </row>
    <row r="44" spans="2:12" ht="15.6" x14ac:dyDescent="0.3">
      <c r="B44" s="253" t="str">
        <f>'Dados à Preencher'!B57</f>
        <v>Frete internacional</v>
      </c>
      <c r="C44" s="254"/>
      <c r="D44" s="254"/>
      <c r="E44" s="255">
        <f>IFERROR((G44/'Dados à Preencher'!$F$29),0)</f>
        <v>0</v>
      </c>
      <c r="F44" s="256">
        <f>IFERROR((G44/'Dados à Preencher'!$F$28),0)</f>
        <v>1</v>
      </c>
      <c r="G44" s="257">
        <f>'Dados à Preencher'!F57</f>
        <v>5.7603</v>
      </c>
      <c r="H44" s="217"/>
      <c r="I44" s="217"/>
    </row>
    <row r="45" spans="2:12" ht="15.6" x14ac:dyDescent="0.3">
      <c r="B45" s="253" t="str">
        <f>'Dados à Preencher'!B58</f>
        <v>Seguro</v>
      </c>
      <c r="C45" s="254"/>
      <c r="D45" s="254"/>
      <c r="E45" s="255">
        <f>IFERROR((G45/'Dados à Preencher'!$F$29),0)</f>
        <v>0</v>
      </c>
      <c r="F45" s="256">
        <f>IFERROR((G45/'Dados à Preencher'!$F$28),0)</f>
        <v>1</v>
      </c>
      <c r="G45" s="257">
        <f>'Dados à Preencher'!F58</f>
        <v>5.7603</v>
      </c>
      <c r="H45" s="217"/>
      <c r="I45" s="217"/>
    </row>
    <row r="46" spans="2:12" ht="15.6" x14ac:dyDescent="0.3">
      <c r="B46" s="253" t="str">
        <f>'Dados à Preencher'!B59</f>
        <v>THC</v>
      </c>
      <c r="C46" s="254"/>
      <c r="D46" s="254"/>
      <c r="E46" s="255">
        <f>IFERROR((G46/'Dados à Preencher'!$F$29),0)</f>
        <v>0</v>
      </c>
      <c r="F46" s="256">
        <f>IFERROR((G46/'Dados à Preencher'!$F$28),0)</f>
        <v>0.1736020693366665</v>
      </c>
      <c r="G46" s="257">
        <f>'Dados à Preencher'!F59</f>
        <v>1</v>
      </c>
      <c r="H46" s="217"/>
      <c r="I46" s="217"/>
    </row>
    <row r="47" spans="2:12" ht="15.6" x14ac:dyDescent="0.3">
      <c r="B47" s="304" t="s">
        <v>257</v>
      </c>
      <c r="C47" s="305"/>
      <c r="D47" s="305"/>
      <c r="E47" s="305"/>
      <c r="F47" s="305"/>
      <c r="G47" s="306"/>
      <c r="H47" s="217"/>
      <c r="I47" s="217"/>
    </row>
    <row r="48" spans="2:12" ht="27" customHeight="1" x14ac:dyDescent="0.3">
      <c r="B48" s="275" t="str">
        <f>'Dados à Preencher'!B61</f>
        <v>despesas origem</v>
      </c>
      <c r="C48" s="254"/>
      <c r="D48" s="254"/>
      <c r="E48" s="255">
        <f>IFERROR((G48/'Dados à Preencher'!$F$29),0)</f>
        <v>0</v>
      </c>
      <c r="F48" s="256">
        <f>IFERROR((G48/'Dados à Preencher'!$F$28),0)</f>
        <v>1</v>
      </c>
      <c r="G48" s="257">
        <f>'Dados à Preencher'!F61</f>
        <v>5.7603</v>
      </c>
      <c r="H48" s="217"/>
      <c r="I48" s="217"/>
    </row>
    <row r="49" spans="2:9" ht="15.6" x14ac:dyDescent="0.3">
      <c r="B49" s="304" t="s">
        <v>258</v>
      </c>
      <c r="C49" s="305"/>
      <c r="D49" s="305"/>
      <c r="E49" s="305"/>
      <c r="F49" s="305"/>
      <c r="G49" s="306"/>
      <c r="H49" s="217"/>
      <c r="I49" s="217"/>
    </row>
    <row r="50" spans="2:9" ht="15" customHeight="1" x14ac:dyDescent="0.3">
      <c r="B50" s="253" t="str">
        <f>'Dados à Preencher'!B63</f>
        <v>taxa 1</v>
      </c>
      <c r="C50" s="254"/>
      <c r="D50" s="254"/>
      <c r="E50" s="255">
        <f>IFERROR((G50/'Dados à Preencher'!$F$29),0)</f>
        <v>0</v>
      </c>
      <c r="F50" s="256">
        <f>IFERROR((G50/'Dados à Preencher'!$F$28),0)</f>
        <v>0.1736020693366665</v>
      </c>
      <c r="G50" s="257">
        <f>'Dados à Preencher'!F63</f>
        <v>1</v>
      </c>
      <c r="H50" s="217"/>
      <c r="I50" s="217"/>
    </row>
    <row r="51" spans="2:9" ht="15.6" x14ac:dyDescent="0.3">
      <c r="B51" s="253" t="str">
        <f>'Dados à Preencher'!B64</f>
        <v>taxa 2</v>
      </c>
      <c r="C51" s="254"/>
      <c r="D51" s="254"/>
      <c r="E51" s="255">
        <f>IFERROR((G51/'Dados à Preencher'!$F$29),0)</f>
        <v>0</v>
      </c>
      <c r="F51" s="256">
        <f>IFERROR((G51/'Dados à Preencher'!$F$28),0)</f>
        <v>0.1736020693366665</v>
      </c>
      <c r="G51" s="257">
        <f>'Dados à Preencher'!F64</f>
        <v>1</v>
      </c>
      <c r="H51" s="217"/>
      <c r="I51" s="217"/>
    </row>
    <row r="52" spans="2:9" ht="15.6" x14ac:dyDescent="0.3">
      <c r="B52" s="253" t="str">
        <f>'Dados à Preencher'!B65</f>
        <v>taxa 3</v>
      </c>
      <c r="C52" s="254"/>
      <c r="D52" s="254"/>
      <c r="E52" s="255">
        <f>IFERROR((G52/'Dados à Preencher'!$F$29),0)</f>
        <v>0</v>
      </c>
      <c r="F52" s="256">
        <f>IFERROR((G52/'Dados à Preencher'!$F$28),0)</f>
        <v>1</v>
      </c>
      <c r="G52" s="257">
        <f>'Dados à Preencher'!F65</f>
        <v>5.7603</v>
      </c>
      <c r="H52" s="217"/>
      <c r="I52" s="217"/>
    </row>
    <row r="53" spans="2:9" ht="15.6" x14ac:dyDescent="0.3">
      <c r="B53" s="253" t="str">
        <f>'Dados à Preencher'!B66</f>
        <v>taxa 4</v>
      </c>
      <c r="C53" s="254"/>
      <c r="D53" s="254"/>
      <c r="E53" s="255">
        <f>IFERROR((G53/'Dados à Preencher'!$F$29),0)</f>
        <v>0</v>
      </c>
      <c r="F53" s="256">
        <f>IFERROR((G53/'Dados à Preencher'!$F$28),0)</f>
        <v>1</v>
      </c>
      <c r="G53" s="257">
        <f>'Dados à Preencher'!F66</f>
        <v>5.7603</v>
      </c>
      <c r="H53" s="217"/>
      <c r="I53" s="217"/>
    </row>
    <row r="54" spans="2:9" ht="15.6" x14ac:dyDescent="0.3">
      <c r="B54" s="253" t="str">
        <f>'Dados à Preencher'!B67</f>
        <v>taxa 5</v>
      </c>
      <c r="C54" s="254"/>
      <c r="D54" s="254"/>
      <c r="E54" s="255">
        <f>IFERROR((G54/'Dados à Preencher'!$F$29),0)</f>
        <v>0</v>
      </c>
      <c r="F54" s="256">
        <f>IFERROR((G54/'Dados à Preencher'!$F$28),0)</f>
        <v>1</v>
      </c>
      <c r="G54" s="257">
        <f>'Dados à Preencher'!F67</f>
        <v>5.7603</v>
      </c>
      <c r="H54" s="217"/>
      <c r="I54" s="217"/>
    </row>
    <row r="55" spans="2:9" ht="15.6" x14ac:dyDescent="0.3">
      <c r="B55" s="253" t="str">
        <f>'Dados à Preencher'!B68</f>
        <v>taxa 6</v>
      </c>
      <c r="C55" s="254"/>
      <c r="D55" s="276"/>
      <c r="E55" s="255">
        <f>IFERROR((G55/'Dados à Preencher'!$F$29),0)</f>
        <v>0</v>
      </c>
      <c r="F55" s="256">
        <f>IFERROR((G55/'Dados à Preencher'!$F$28),0)</f>
        <v>1</v>
      </c>
      <c r="G55" s="257">
        <f>'Dados à Preencher'!F68</f>
        <v>5.7603</v>
      </c>
      <c r="H55" s="252"/>
      <c r="I55" s="217"/>
    </row>
    <row r="56" spans="2:9" ht="15.6" x14ac:dyDescent="0.3">
      <c r="B56" s="253" t="str">
        <f>'Dados à Preencher'!B69</f>
        <v>Assessoria e Desembaraço Aduaneiro</v>
      </c>
      <c r="C56" s="254"/>
      <c r="D56" s="276"/>
      <c r="E56" s="255">
        <f>IFERROR((G56/'Dados à Preencher'!$F$29),0)</f>
        <v>0</v>
      </c>
      <c r="F56" s="256">
        <f>IFERROR((G56/'Dados à Preencher'!$F$28),0)</f>
        <v>0.1736020693366665</v>
      </c>
      <c r="G56" s="257">
        <f>'Dados à Preencher'!F69</f>
        <v>1</v>
      </c>
      <c r="H56" s="252"/>
      <c r="I56" s="217"/>
    </row>
    <row r="57" spans="2:9" ht="15.6" x14ac:dyDescent="0.3">
      <c r="B57" s="253" t="str">
        <f>'Dados à Preencher'!B70</f>
        <v>Despesas Zona Primária - Portonave</v>
      </c>
      <c r="C57" s="254"/>
      <c r="D57" s="276"/>
      <c r="E57" s="255">
        <f>IFERROR((G57/'Dados à Preencher'!$F$29),0)</f>
        <v>0</v>
      </c>
      <c r="F57" s="256">
        <f>IFERROR((G57/'Dados à Preencher'!$F$28),0)</f>
        <v>0.1736020693366665</v>
      </c>
      <c r="G57" s="257">
        <f>'Dados à Preencher'!F70</f>
        <v>1</v>
      </c>
      <c r="H57" s="252"/>
      <c r="I57" s="217"/>
    </row>
    <row r="58" spans="2:9" ht="15.6" x14ac:dyDescent="0.3">
      <c r="B58" s="253" t="str">
        <f>'Dados à Preencher'!B71</f>
        <v>DTA</v>
      </c>
      <c r="C58" s="254"/>
      <c r="D58" s="276"/>
      <c r="E58" s="255">
        <f>IFERROR((G58/'Dados à Preencher'!$F$29),0)</f>
        <v>0</v>
      </c>
      <c r="F58" s="256">
        <f>IFERROR((G58/'Dados à Preencher'!$F$28),0)</f>
        <v>0.1736020693366665</v>
      </c>
      <c r="G58" s="257">
        <f>'Dados à Preencher'!F71</f>
        <v>1</v>
      </c>
      <c r="H58" s="252"/>
      <c r="I58" s="217"/>
    </row>
    <row r="59" spans="2:9" ht="15.6" x14ac:dyDescent="0.3">
      <c r="B59" s="253" t="str">
        <f>'Dados à Preencher'!B72</f>
        <v>Despesas Zona Secundária - Conexão Marítima</v>
      </c>
      <c r="C59" s="254"/>
      <c r="D59" s="276"/>
      <c r="E59" s="255">
        <f>IFERROR((G59/'Dados à Preencher'!$F$29),0)</f>
        <v>0</v>
      </c>
      <c r="F59" s="256">
        <f>IFERROR((G59/'Dados à Preencher'!$F$28),0)</f>
        <v>0.1736020693366665</v>
      </c>
      <c r="G59" s="257">
        <f>'Dados à Preencher'!F72</f>
        <v>1</v>
      </c>
      <c r="H59" s="252"/>
      <c r="I59" s="217"/>
    </row>
    <row r="60" spans="2:9" ht="15.6" x14ac:dyDescent="0.3">
      <c r="B60" s="253" t="str">
        <f>'Dados à Preencher'!B73</f>
        <v>Transporte Rodoviário</v>
      </c>
      <c r="C60" s="254"/>
      <c r="D60" s="276"/>
      <c r="E60" s="255">
        <f>IFERROR((G60/'Dados à Preencher'!$F$29),0)</f>
        <v>0</v>
      </c>
      <c r="F60" s="256">
        <f>IFERROR((G60/'Dados à Preencher'!$F$28),0)</f>
        <v>0.1736020693366665</v>
      </c>
      <c r="G60" s="257">
        <f>'Dados à Preencher'!F73</f>
        <v>1</v>
      </c>
      <c r="H60" s="252"/>
      <c r="I60" s="217"/>
    </row>
    <row r="61" spans="2:9" ht="15.6" x14ac:dyDescent="0.3">
      <c r="B61" s="253" t="str">
        <f>'Dados à Preencher'!B74</f>
        <v>Registro de DTA</v>
      </c>
      <c r="C61" s="254"/>
      <c r="D61" s="276"/>
      <c r="E61" s="255">
        <f>IFERROR((G61/'Dados à Preencher'!$F$29),0)</f>
        <v>0</v>
      </c>
      <c r="F61" s="256">
        <f>IFERROR((G61/'Dados à Preencher'!$F$28),0)</f>
        <v>0.1736020693366665</v>
      </c>
      <c r="G61" s="257">
        <f>'Dados à Preencher'!F74</f>
        <v>1</v>
      </c>
      <c r="H61" s="252"/>
      <c r="I61" s="217"/>
    </row>
    <row r="62" spans="2:9" ht="16.2" thickBot="1" x14ac:dyDescent="0.35">
      <c r="B62" s="319" t="s">
        <v>337</v>
      </c>
      <c r="C62" s="320"/>
      <c r="D62" s="320"/>
      <c r="E62" s="272">
        <f>SUM(E44:E61)</f>
        <v>0</v>
      </c>
      <c r="F62" s="273">
        <f>SUM(F44:F61)</f>
        <v>8.5624186240300002</v>
      </c>
      <c r="G62" s="274">
        <f>SUM(G44:G61)</f>
        <v>49.322099999999999</v>
      </c>
      <c r="H62" s="252"/>
      <c r="I62" s="217"/>
    </row>
    <row r="63" spans="2:9" ht="15.6" x14ac:dyDescent="0.3">
      <c r="B63" s="326" t="s">
        <v>338</v>
      </c>
      <c r="C63" s="327"/>
      <c r="D63" s="327"/>
      <c r="E63" s="327"/>
      <c r="F63" s="327"/>
      <c r="G63" s="328"/>
      <c r="H63" s="252"/>
      <c r="I63" s="217"/>
    </row>
    <row r="64" spans="2:9" ht="15.45" customHeight="1" x14ac:dyDescent="0.3">
      <c r="B64" s="277" t="s">
        <v>339</v>
      </c>
      <c r="C64" s="278"/>
      <c r="D64" s="279">
        <f ca="1">G64/$G$67</f>
        <v>0.66924979868443502</v>
      </c>
      <c r="E64" s="272">
        <f>E31</f>
        <v>0</v>
      </c>
      <c r="F64" s="273">
        <f>F31</f>
        <v>5000</v>
      </c>
      <c r="G64" s="274">
        <f>G31</f>
        <v>28801.5</v>
      </c>
      <c r="H64" s="252"/>
    </row>
    <row r="65" spans="2:15" ht="15.45" customHeight="1" x14ac:dyDescent="0.3">
      <c r="B65" s="277" t="s">
        <v>340</v>
      </c>
      <c r="C65" s="278"/>
      <c r="D65" s="279">
        <f t="shared" ref="D65:D66" ca="1" si="0">G65/$G$67</f>
        <v>1.1460793880767868E-3</v>
      </c>
      <c r="E65" s="272">
        <f>SUM(E44:E61)</f>
        <v>0</v>
      </c>
      <c r="F65" s="273">
        <f>SUM(F44:F61)</f>
        <v>8.5624186240300002</v>
      </c>
      <c r="G65" s="274">
        <f>G62</f>
        <v>49.322099999999999</v>
      </c>
      <c r="H65" s="252"/>
    </row>
    <row r="66" spans="2:15" ht="15.45" customHeight="1" x14ac:dyDescent="0.3">
      <c r="B66" s="270" t="s">
        <v>341</v>
      </c>
      <c r="C66" s="271"/>
      <c r="D66" s="279">
        <f t="shared" ca="1" si="0"/>
        <v>0.32960412192748817</v>
      </c>
      <c r="E66" s="272">
        <f ca="1">E42</f>
        <v>0</v>
      </c>
      <c r="F66" s="273">
        <f ca="1">F42</f>
        <v>2462.4895112064369</v>
      </c>
      <c r="G66" s="274">
        <f ca="1">G42</f>
        <v>14184.67833140244</v>
      </c>
      <c r="H66" s="252"/>
    </row>
    <row r="67" spans="2:15" ht="21" customHeight="1" thickBot="1" x14ac:dyDescent="0.35">
      <c r="B67" s="280" t="s">
        <v>342</v>
      </c>
      <c r="C67" s="281"/>
      <c r="D67" s="282">
        <f ca="1">G67/$G$67</f>
        <v>1</v>
      </c>
      <c r="E67" s="283">
        <f ca="1">SUM(E64:E66)</f>
        <v>0</v>
      </c>
      <c r="F67" s="284">
        <f ca="1">SUM(F64:F66)</f>
        <v>7471.0519298304671</v>
      </c>
      <c r="G67" s="285">
        <f ca="1">G64+G65+G66</f>
        <v>43035.500431402441</v>
      </c>
      <c r="H67" s="286"/>
    </row>
    <row r="68" spans="2:15" ht="21" customHeight="1" thickBot="1" x14ac:dyDescent="0.35">
      <c r="B68" s="280" t="s">
        <v>371</v>
      </c>
      <c r="C68" s="281"/>
      <c r="D68" s="282"/>
      <c r="E68" s="283">
        <f ca="1">E67</f>
        <v>0</v>
      </c>
      <c r="F68" s="284">
        <f ca="1">F67</f>
        <v>7471.0519298304671</v>
      </c>
      <c r="G68" s="285">
        <f ca="1">G67</f>
        <v>43035.500431402441</v>
      </c>
      <c r="H68" s="286"/>
    </row>
    <row r="69" spans="2:15" ht="16.2" thickBot="1" x14ac:dyDescent="0.35">
      <c r="B69" s="280" t="s">
        <v>369</v>
      </c>
      <c r="C69" s="281"/>
      <c r="D69" s="282"/>
      <c r="E69" s="287">
        <f ca="1">IFERROR((G69/'Dados à Preencher'!$F$29),0)</f>
        <v>0</v>
      </c>
      <c r="F69" s="284">
        <f ca="1">G69/'Dados à Preencher'!$C$28</f>
        <v>6127.2638178133093</v>
      </c>
      <c r="G69" s="285">
        <f ca="1">'Custo Internado Itens'!V14</f>
        <v>35294.877769750005</v>
      </c>
    </row>
    <row r="70" spans="2:15" ht="17.55" customHeight="1" thickBot="1" x14ac:dyDescent="0.35">
      <c r="B70" s="280" t="s">
        <v>370</v>
      </c>
      <c r="C70" s="281"/>
      <c r="D70" s="282"/>
      <c r="E70" s="287">
        <f ca="1">IFERROR((G70/'Dados à Preencher'!$F$29),0)</f>
        <v>0</v>
      </c>
      <c r="F70" s="284">
        <f ca="1">G70/'Dados à Preencher'!$C$28</f>
        <v>5539.4113178133093</v>
      </c>
      <c r="G70" s="285">
        <f ca="1">'Custo Internado Itens'!W14</f>
        <v>31908.671014000007</v>
      </c>
      <c r="K70" s="288"/>
      <c r="L70" s="288"/>
    </row>
    <row r="71" spans="2:15" x14ac:dyDescent="0.3">
      <c r="B71" s="289"/>
      <c r="C71" s="289"/>
      <c r="D71" s="289"/>
      <c r="E71" s="289"/>
      <c r="F71" s="289"/>
      <c r="O71" s="157"/>
    </row>
    <row r="72" spans="2:15" ht="66.75" customHeight="1" x14ac:dyDescent="0.3">
      <c r="B72" s="325" t="s">
        <v>372</v>
      </c>
      <c r="C72" s="325"/>
      <c r="D72" s="325"/>
      <c r="E72" s="325"/>
      <c r="F72" s="325"/>
      <c r="G72" s="290"/>
      <c r="O72" s="157"/>
    </row>
    <row r="73" spans="2:15" x14ac:dyDescent="0.3">
      <c r="O73" s="157"/>
    </row>
    <row r="74" spans="2:15" x14ac:dyDescent="0.3">
      <c r="O74" s="157"/>
    </row>
    <row r="75" spans="2:15" x14ac:dyDescent="0.3">
      <c r="O75" s="157"/>
    </row>
    <row r="76" spans="2:15" x14ac:dyDescent="0.3">
      <c r="O76" s="157"/>
    </row>
    <row r="77" spans="2:15" x14ac:dyDescent="0.3">
      <c r="O77" s="157"/>
    </row>
    <row r="78" spans="2:15" x14ac:dyDescent="0.3">
      <c r="O78" s="157"/>
    </row>
    <row r="79" spans="2:15" x14ac:dyDescent="0.3">
      <c r="O79" s="157"/>
    </row>
    <row r="80" spans="2:15" x14ac:dyDescent="0.3">
      <c r="O80" s="157"/>
    </row>
    <row r="81" spans="15:15" x14ac:dyDescent="0.3">
      <c r="O81" s="157"/>
    </row>
    <row r="82" spans="15:15" x14ac:dyDescent="0.3">
      <c r="O82" s="157"/>
    </row>
    <row r="83" spans="15:15" x14ac:dyDescent="0.3">
      <c r="O83" s="157"/>
    </row>
    <row r="84" spans="15:15" x14ac:dyDescent="0.3">
      <c r="O84" s="157"/>
    </row>
    <row r="85" spans="15:15" x14ac:dyDescent="0.3">
      <c r="O85" s="157"/>
    </row>
    <row r="86" spans="15:15" x14ac:dyDescent="0.3">
      <c r="O86" s="157"/>
    </row>
    <row r="87" spans="15:15" x14ac:dyDescent="0.3">
      <c r="O87" s="157"/>
    </row>
    <row r="88" spans="15:15" x14ac:dyDescent="0.3">
      <c r="O88" s="157"/>
    </row>
    <row r="89" spans="15:15" x14ac:dyDescent="0.3">
      <c r="O89" s="157"/>
    </row>
    <row r="90" spans="15:15" x14ac:dyDescent="0.3">
      <c r="O90" s="157"/>
    </row>
    <row r="91" spans="15:15" x14ac:dyDescent="0.3">
      <c r="O91" s="157"/>
    </row>
    <row r="92" spans="15:15" x14ac:dyDescent="0.3">
      <c r="O92" s="157"/>
    </row>
    <row r="93" spans="15:15" x14ac:dyDescent="0.3">
      <c r="O93" s="157"/>
    </row>
    <row r="94" spans="15:15" x14ac:dyDescent="0.3">
      <c r="O94" s="157"/>
    </row>
    <row r="95" spans="15:15" x14ac:dyDescent="0.3">
      <c r="O95" s="157"/>
    </row>
    <row r="96" spans="15:15" x14ac:dyDescent="0.3">
      <c r="O96" s="157"/>
    </row>
    <row r="97" spans="15:15" x14ac:dyDescent="0.3">
      <c r="O97" s="157"/>
    </row>
    <row r="98" spans="15:15" x14ac:dyDescent="0.3">
      <c r="O98" s="157"/>
    </row>
    <row r="99" spans="15:15" x14ac:dyDescent="0.3">
      <c r="O99" s="157"/>
    </row>
    <row r="100" spans="15:15" x14ac:dyDescent="0.3">
      <c r="O100" s="157"/>
    </row>
    <row r="101" spans="15:15" x14ac:dyDescent="0.3">
      <c r="O101" s="157"/>
    </row>
    <row r="102" spans="15:15" x14ac:dyDescent="0.3">
      <c r="O102" s="157"/>
    </row>
    <row r="103" spans="15:15" x14ac:dyDescent="0.3">
      <c r="O103" s="157"/>
    </row>
    <row r="104" spans="15:15" x14ac:dyDescent="0.3">
      <c r="O104" s="157"/>
    </row>
    <row r="105" spans="15:15" x14ac:dyDescent="0.3">
      <c r="O105" s="157"/>
    </row>
    <row r="106" spans="15:15" x14ac:dyDescent="0.3">
      <c r="O106" s="157"/>
    </row>
    <row r="107" spans="15:15" x14ac:dyDescent="0.3">
      <c r="O107" s="157"/>
    </row>
    <row r="108" spans="15:15" x14ac:dyDescent="0.3">
      <c r="O108" s="157"/>
    </row>
    <row r="109" spans="15:15" x14ac:dyDescent="0.3">
      <c r="O109" s="157"/>
    </row>
    <row r="110" spans="15:15" x14ac:dyDescent="0.3">
      <c r="O110" s="157"/>
    </row>
    <row r="111" spans="15:15" x14ac:dyDescent="0.3">
      <c r="O111" s="157"/>
    </row>
    <row r="112" spans="15:15" x14ac:dyDescent="0.3">
      <c r="O112" s="157"/>
    </row>
    <row r="113" spans="15:15" x14ac:dyDescent="0.3">
      <c r="O113" s="157"/>
    </row>
    <row r="114" spans="15:15" x14ac:dyDescent="0.3">
      <c r="O114" s="157"/>
    </row>
    <row r="115" spans="15:15" x14ac:dyDescent="0.3">
      <c r="O115" s="157"/>
    </row>
    <row r="116" spans="15:15" x14ac:dyDescent="0.3">
      <c r="O116" s="157"/>
    </row>
    <row r="117" spans="15:15" x14ac:dyDescent="0.3">
      <c r="O117" s="157"/>
    </row>
    <row r="118" spans="15:15" x14ac:dyDescent="0.3">
      <c r="O118" s="157"/>
    </row>
    <row r="119" spans="15:15" x14ac:dyDescent="0.3">
      <c r="O119" s="157"/>
    </row>
    <row r="120" spans="15:15" x14ac:dyDescent="0.3">
      <c r="O120" s="157"/>
    </row>
    <row r="121" spans="15:15" x14ac:dyDescent="0.3">
      <c r="O121" s="157"/>
    </row>
    <row r="122" spans="15:15" x14ac:dyDescent="0.3">
      <c r="O122" s="157"/>
    </row>
    <row r="123" spans="15:15" x14ac:dyDescent="0.3">
      <c r="O123" s="157"/>
    </row>
  </sheetData>
  <sheetProtection formatCells="0" formatColumns="0" formatRows="0" insertColumns="0" insertRows="0" deleteColumns="0" deleteRows="0" sort="0" autoFilter="0"/>
  <mergeCells count="23">
    <mergeCell ref="B36:C36"/>
    <mergeCell ref="B37:C37"/>
    <mergeCell ref="B38:C38"/>
    <mergeCell ref="B41:D41"/>
    <mergeCell ref="B72:F72"/>
    <mergeCell ref="B62:D62"/>
    <mergeCell ref="B63:G63"/>
    <mergeCell ref="B30:G30"/>
    <mergeCell ref="B47:G47"/>
    <mergeCell ref="B49:G49"/>
    <mergeCell ref="F6:G6"/>
    <mergeCell ref="B20:G20"/>
    <mergeCell ref="B43:G43"/>
    <mergeCell ref="E18:F18"/>
    <mergeCell ref="E19:F19"/>
    <mergeCell ref="B8:G8"/>
    <mergeCell ref="F10:G10"/>
    <mergeCell ref="F9:G9"/>
    <mergeCell ref="B42:D42"/>
    <mergeCell ref="B32:G32"/>
    <mergeCell ref="B39:D39"/>
    <mergeCell ref="B34:C34"/>
    <mergeCell ref="B35:C35"/>
  </mergeCells>
  <pageMargins left="0.7" right="0.7" top="0.75" bottom="0.75" header="0.3" footer="0.3"/>
  <pageSetup paperSize="9" scale="23" fitToHeight="0" orientation="portrait" r:id="rId1"/>
  <colBreaks count="1" manualBreakCount="1">
    <brk id="8" max="1048575" man="1"/>
  </colBreaks>
  <ignoredErrors>
    <ignoredError sqref="B7:G8 B18:D19 G18:G19 B17:C17 B9:C9 F9:G9 B10:C10 F10:G10 B11:D11 G11 G12 B6 F6:G6 B14:D14 G14 B15:D15 G15 B16:C16 G16 G17"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5"/>
  <sheetViews>
    <sheetView showGridLines="0" zoomScaleNormal="100" workbookViewId="0">
      <selection activeCell="C27" sqref="C27"/>
    </sheetView>
  </sheetViews>
  <sheetFormatPr defaultColWidth="8.77734375" defaultRowHeight="13.8" x14ac:dyDescent="0.3"/>
  <cols>
    <col min="1" max="2" width="17.77734375" style="186" customWidth="1"/>
    <col min="3" max="3" width="26.21875" style="186" customWidth="1"/>
    <col min="4" max="4" width="17" style="186" customWidth="1"/>
    <col min="5" max="5" width="16.77734375" style="186" customWidth="1"/>
    <col min="6" max="20" width="15.21875" style="186" customWidth="1"/>
    <col min="21" max="21" width="20" style="186" customWidth="1"/>
    <col min="22" max="23" width="15.21875" style="186" customWidth="1"/>
    <col min="24" max="24" width="13.77734375" style="186" hidden="1" customWidth="1"/>
    <col min="25" max="25" width="13.21875" style="186" hidden="1" customWidth="1"/>
    <col min="26" max="26" width="12.77734375" style="186" bestFit="1" customWidth="1"/>
    <col min="27" max="27" width="12.77734375" style="186" customWidth="1"/>
    <col min="28" max="28" width="13.5546875" style="186" bestFit="1" customWidth="1"/>
    <col min="29" max="29" width="8.77734375" style="186"/>
    <col min="30" max="30" width="12.77734375" style="186" bestFit="1" customWidth="1"/>
    <col min="31" max="31" width="10.77734375" style="186" customWidth="1"/>
    <col min="32" max="32" width="12.44140625" style="186" bestFit="1" customWidth="1"/>
    <col min="33" max="33" width="8.77734375" style="186"/>
    <col min="34" max="34" width="21.21875" style="186" bestFit="1" customWidth="1"/>
    <col min="35" max="35" width="13.77734375" style="186" bestFit="1" customWidth="1"/>
    <col min="36" max="37" width="13.5546875" style="186" bestFit="1" customWidth="1"/>
    <col min="38" max="38" width="8.77734375" style="186"/>
    <col min="39" max="40" width="12.44140625" style="186" bestFit="1" customWidth="1"/>
    <col min="41" max="41" width="14.77734375" style="186" customWidth="1"/>
    <col min="42" max="42" width="13.5546875" style="186" bestFit="1" customWidth="1"/>
    <col min="43" max="16384" width="8.77734375" style="186"/>
  </cols>
  <sheetData>
    <row r="1" spans="1:38" ht="14.4" thickBot="1" x14ac:dyDescent="0.35">
      <c r="A1" s="184" t="s">
        <v>89</v>
      </c>
      <c r="B1" s="185"/>
      <c r="C1" s="185"/>
      <c r="I1" s="187"/>
    </row>
    <row r="2" spans="1:38" s="192" customFormat="1" ht="18.45" customHeight="1" thickBot="1" x14ac:dyDescent="0.35">
      <c r="A2" s="332" t="s">
        <v>80</v>
      </c>
      <c r="B2" s="333"/>
      <c r="C2" s="333"/>
      <c r="D2" s="333"/>
      <c r="E2" s="333"/>
      <c r="F2" s="333"/>
      <c r="G2" s="333"/>
      <c r="H2" s="333"/>
      <c r="I2" s="333"/>
      <c r="J2" s="333"/>
      <c r="K2" s="333"/>
      <c r="L2" s="333"/>
      <c r="M2" s="333"/>
      <c r="N2" s="333"/>
      <c r="O2" s="333"/>
      <c r="P2" s="333"/>
      <c r="Q2" s="333"/>
      <c r="R2" s="333"/>
      <c r="S2" s="333"/>
      <c r="T2" s="334"/>
      <c r="U2" s="188" t="s">
        <v>110</v>
      </c>
      <c r="V2" s="189"/>
      <c r="W2" s="190"/>
      <c r="X2" s="186"/>
      <c r="Y2" s="186"/>
      <c r="Z2" s="191"/>
    </row>
    <row r="3" spans="1:38" ht="41.4" x14ac:dyDescent="0.3">
      <c r="A3" s="193" t="str">
        <f>'Dados à Preencher'!A38</f>
        <v>ORDEM</v>
      </c>
      <c r="B3" s="330" t="str">
        <f>'Dados à Preencher'!B38</f>
        <v xml:space="preserve">DESCRIÇÃO </v>
      </c>
      <c r="C3" s="331" t="e">
        <f>'Dados à Preencher'!#REF!</f>
        <v>#REF!</v>
      </c>
      <c r="D3" s="194" t="str">
        <f>'Dados à Preencher'!C38</f>
        <v>QUANTIDADE</v>
      </c>
      <c r="E3" s="194" t="str">
        <f>'Dados à Preencher'!D38</f>
        <v xml:space="preserve">VALOR UNITÁRIO </v>
      </c>
      <c r="F3" s="194" t="str">
        <f>'Dados à Preencher'!E38</f>
        <v xml:space="preserve">VALOR TOTAL </v>
      </c>
      <c r="G3" s="194" t="str">
        <f>'Dados à Preencher'!F38</f>
        <v>NCM</v>
      </c>
      <c r="H3" s="194" t="s">
        <v>67</v>
      </c>
      <c r="I3" s="194" t="str">
        <f>'Dados à Preencher'!G38</f>
        <v>Defesa comercial (Anti Dumping) em dólar.</v>
      </c>
      <c r="J3" s="194" t="s">
        <v>68</v>
      </c>
      <c r="K3" s="194" t="s">
        <v>39</v>
      </c>
      <c r="L3" s="194" t="s">
        <v>40</v>
      </c>
      <c r="M3" s="194" t="s">
        <v>41</v>
      </c>
      <c r="N3" s="194" t="s">
        <v>42</v>
      </c>
      <c r="O3" s="194" t="s">
        <v>69</v>
      </c>
      <c r="P3" s="194" t="s">
        <v>60</v>
      </c>
      <c r="Q3" s="194" t="s">
        <v>364</v>
      </c>
      <c r="R3" s="194" t="s">
        <v>43</v>
      </c>
      <c r="S3" s="194" t="s">
        <v>367</v>
      </c>
      <c r="T3" s="195" t="s">
        <v>75</v>
      </c>
      <c r="U3" s="196" t="s">
        <v>107</v>
      </c>
      <c r="V3" s="197" t="s">
        <v>108</v>
      </c>
      <c r="W3" s="195" t="s">
        <v>109</v>
      </c>
      <c r="X3" s="186" t="s">
        <v>368</v>
      </c>
      <c r="Z3" s="198"/>
    </row>
    <row r="4" spans="1:38" x14ac:dyDescent="0.3">
      <c r="A4" s="199">
        <f>'Dados à Preencher'!A39</f>
        <v>1</v>
      </c>
      <c r="B4" s="329" t="str">
        <f>'Dados à Preencher'!B39</f>
        <v>PRODUTO 1</v>
      </c>
      <c r="C4" s="329" t="e">
        <f>'Dados à Preencher'!#REF!</f>
        <v>#REF!</v>
      </c>
      <c r="D4" s="200">
        <f>'Dados à Preencher'!C39</f>
        <v>1000</v>
      </c>
      <c r="E4" s="201">
        <f>'Dados à Preencher'!D39*'Dados à Preencher'!$D$36</f>
        <v>28.801500000000001</v>
      </c>
      <c r="F4" s="201">
        <f>D4*E4</f>
        <v>28801.5</v>
      </c>
      <c r="G4" s="202">
        <f>'Dados à Preencher'!F39</f>
        <v>0</v>
      </c>
      <c r="H4" s="203">
        <f t="shared" ref="H4:H13" si="0">F4/$F$14</f>
        <v>1</v>
      </c>
      <c r="I4" s="201">
        <f>'Dados à Preencher'!G39*'Dados à Preencher'!$C$28</f>
        <v>0</v>
      </c>
      <c r="J4" s="201">
        <f ca="1">F4+(('Custo Importação Direta'!$G$24+'Custo Importação Direta'!$G$26+'Custo Importação Direta'!$G$28+'Custo Importação Direta'!$G$25)*'Custo Internado Itens'!H4)</f>
        <v>28818.780900000002</v>
      </c>
      <c r="K4" s="201">
        <f ca="1">J4*'Dados à Preencher'!H39</f>
        <v>2881.8780900000002</v>
      </c>
      <c r="L4" s="201">
        <f ca="1">(J4+K4)*'Dados à Preencher'!I39</f>
        <v>0</v>
      </c>
      <c r="M4" s="201">
        <f ca="1">J4*'Dados à Preencher'!J39</f>
        <v>605.19439890000012</v>
      </c>
      <c r="N4" s="201">
        <f ca="1">J4*'Dados à Preencher'!K39</f>
        <v>2781.0123568500003</v>
      </c>
      <c r="O4" s="201">
        <f t="shared" ref="O4:O13" si="1">$O$14*H4</f>
        <v>154.23000000000002</v>
      </c>
      <c r="P4" s="201">
        <f t="shared" ref="P4:P13" si="2">$P$14*H4</f>
        <v>21.740824</v>
      </c>
      <c r="Q4" s="201">
        <f ca="1">(J4+K4+L4+M4+N4+O4+P4)/(1-'Dados à Preencher'!M39)</f>
        <v>43003.459231402441</v>
      </c>
      <c r="R4" s="201">
        <f ca="1">Q4*'Dados à Preencher'!M39</f>
        <v>7740.6226616524391</v>
      </c>
      <c r="S4" s="201">
        <f t="shared" ref="S4:S13" si="3">$S$14*H4</f>
        <v>28850.822100000001</v>
      </c>
      <c r="T4" s="204">
        <f t="shared" ref="T4:T13" ca="1" si="4">K4+L4+M4+N4+O4+P4+R4+S4+I4</f>
        <v>43035.500431402441</v>
      </c>
      <c r="U4" s="204">
        <f t="shared" ref="U4:U5" ca="1" si="5">T4</f>
        <v>43035.500431402441</v>
      </c>
      <c r="V4" s="204">
        <f t="shared" ref="V4:V13" ca="1" si="6">U4-R4-L4</f>
        <v>35294.877769750005</v>
      </c>
      <c r="W4" s="204">
        <f ca="1">U4-R4-L4-M4-'Custo Internado Itens'!Y4</f>
        <v>31908.671014000007</v>
      </c>
      <c r="X4" s="205">
        <f t="shared" ref="X4:X13" ca="1" si="7">J4*9.65%</f>
        <v>2781.0123568500003</v>
      </c>
      <c r="Y4" s="206">
        <f ca="1">IF('Dados à Preencher'!K39&gt;9.65%,'Custo Internado Itens'!X4,'Custo Internado Itens'!N4)</f>
        <v>2781.0123568500003</v>
      </c>
      <c r="Z4" s="198"/>
    </row>
    <row r="5" spans="1:38" x14ac:dyDescent="0.3">
      <c r="A5" s="199">
        <f>'Dados à Preencher'!A40</f>
        <v>2</v>
      </c>
      <c r="B5" s="329">
        <f>'Dados à Preencher'!B40</f>
        <v>0</v>
      </c>
      <c r="C5" s="329" t="e">
        <f>'Dados à Preencher'!#REF!</f>
        <v>#REF!</v>
      </c>
      <c r="D5" s="200">
        <f>'Dados à Preencher'!C40</f>
        <v>0</v>
      </c>
      <c r="E5" s="201">
        <f>'Dados à Preencher'!D40*'Dados à Preencher'!$D$36</f>
        <v>0</v>
      </c>
      <c r="F5" s="201">
        <f t="shared" ref="F5:F6" si="8">D5*E5</f>
        <v>0</v>
      </c>
      <c r="G5" s="202">
        <f>'Dados à Preencher'!F40</f>
        <v>0</v>
      </c>
      <c r="H5" s="203">
        <f t="shared" si="0"/>
        <v>0</v>
      </c>
      <c r="I5" s="201">
        <f>'Dados à Preencher'!G40*'Dados à Preencher'!$C$28</f>
        <v>0</v>
      </c>
      <c r="J5" s="201">
        <f ca="1">F5+(('Custo Importação Direta'!$G$24+'Custo Importação Direta'!$G$26+'Custo Importação Direta'!$G$28+'Custo Importação Direta'!$G$25)*'Custo Internado Itens'!H5)</f>
        <v>0</v>
      </c>
      <c r="K5" s="201">
        <f ca="1">J5*'Dados à Preencher'!H40</f>
        <v>0</v>
      </c>
      <c r="L5" s="201">
        <f ca="1">(J5+K5)*'Dados à Preencher'!I40</f>
        <v>0</v>
      </c>
      <c r="M5" s="201">
        <f ca="1">J5*'Dados à Preencher'!J40</f>
        <v>0</v>
      </c>
      <c r="N5" s="201">
        <f ca="1">J5*'Dados à Preencher'!K40</f>
        <v>0</v>
      </c>
      <c r="O5" s="201">
        <f t="shared" si="1"/>
        <v>0</v>
      </c>
      <c r="P5" s="201">
        <f t="shared" si="2"/>
        <v>0</v>
      </c>
      <c r="Q5" s="201">
        <f ca="1">(J5+K5+L5+M5+N5+O5+P5)/(1-'Dados à Preencher'!M40)</f>
        <v>0</v>
      </c>
      <c r="R5" s="201">
        <f ca="1">Q5*'Dados à Preencher'!M40</f>
        <v>0</v>
      </c>
      <c r="S5" s="201">
        <f t="shared" si="3"/>
        <v>0</v>
      </c>
      <c r="T5" s="204">
        <f t="shared" ca="1" si="4"/>
        <v>0</v>
      </c>
      <c r="U5" s="204">
        <f t="shared" ca="1" si="5"/>
        <v>0</v>
      </c>
      <c r="V5" s="204">
        <f t="shared" ca="1" si="6"/>
        <v>0</v>
      </c>
      <c r="W5" s="204">
        <f ca="1">U5-R5-L5-M5-'Custo Internado Itens'!Y5</f>
        <v>0</v>
      </c>
      <c r="X5" s="205">
        <f t="shared" ca="1" si="7"/>
        <v>0</v>
      </c>
      <c r="Y5" s="206">
        <f ca="1">IF('Dados à Preencher'!K40&gt;9.65%,'Custo Internado Itens'!X5,'Custo Internado Itens'!N5)</f>
        <v>0</v>
      </c>
      <c r="Z5" s="198"/>
    </row>
    <row r="6" spans="1:38" x14ac:dyDescent="0.3">
      <c r="A6" s="199">
        <f>'Dados à Preencher'!A41</f>
        <v>3</v>
      </c>
      <c r="B6" s="329">
        <f>'Dados à Preencher'!B41</f>
        <v>0</v>
      </c>
      <c r="C6" s="329" t="e">
        <f>'Dados à Preencher'!#REF!</f>
        <v>#REF!</v>
      </c>
      <c r="D6" s="200">
        <f>'Dados à Preencher'!C41</f>
        <v>0</v>
      </c>
      <c r="E6" s="201">
        <f>'Dados à Preencher'!D41*'Dados à Preencher'!$D$36</f>
        <v>0</v>
      </c>
      <c r="F6" s="201">
        <f t="shared" si="8"/>
        <v>0</v>
      </c>
      <c r="G6" s="202">
        <f>'Dados à Preencher'!F41</f>
        <v>0</v>
      </c>
      <c r="H6" s="203">
        <f t="shared" si="0"/>
        <v>0</v>
      </c>
      <c r="I6" s="201">
        <f>'Dados à Preencher'!G41*'Dados à Preencher'!$C$28</f>
        <v>0</v>
      </c>
      <c r="J6" s="201">
        <f ca="1">F6+(('Custo Importação Direta'!$G$24+'Custo Importação Direta'!$G$26+'Custo Importação Direta'!$G$28+'Custo Importação Direta'!$G$25)*'Custo Internado Itens'!H6)</f>
        <v>0</v>
      </c>
      <c r="K6" s="201">
        <f ca="1">J6*'Dados à Preencher'!H41</f>
        <v>0</v>
      </c>
      <c r="L6" s="201">
        <f ca="1">(J6+K6)*'Dados à Preencher'!I41</f>
        <v>0</v>
      </c>
      <c r="M6" s="201">
        <f ca="1">J6*'Dados à Preencher'!J41</f>
        <v>0</v>
      </c>
      <c r="N6" s="201">
        <f ca="1">J6*'Dados à Preencher'!K41</f>
        <v>0</v>
      </c>
      <c r="O6" s="201">
        <f t="shared" si="1"/>
        <v>0</v>
      </c>
      <c r="P6" s="201">
        <f t="shared" si="2"/>
        <v>0</v>
      </c>
      <c r="Q6" s="201">
        <f ca="1">(J6+K6+L6+M6+N6+O6+P6)/(1-'Dados à Preencher'!M41)</f>
        <v>0</v>
      </c>
      <c r="R6" s="201">
        <f ca="1">Q6*'Dados à Preencher'!M41</f>
        <v>0</v>
      </c>
      <c r="S6" s="201">
        <f t="shared" si="3"/>
        <v>0</v>
      </c>
      <c r="T6" s="204">
        <f t="shared" ca="1" si="4"/>
        <v>0</v>
      </c>
      <c r="U6" s="204">
        <f t="shared" ref="U6:U13" ca="1" si="9">T6</f>
        <v>0</v>
      </c>
      <c r="V6" s="204">
        <f t="shared" ca="1" si="6"/>
        <v>0</v>
      </c>
      <c r="W6" s="204">
        <f ca="1">U6-R6-L6-M6-'Custo Internado Itens'!Y6</f>
        <v>0</v>
      </c>
      <c r="X6" s="205">
        <f t="shared" ca="1" si="7"/>
        <v>0</v>
      </c>
      <c r="Y6" s="206">
        <f ca="1">IF('Dados à Preencher'!K41&gt;9.65%,'Custo Internado Itens'!X6,'Custo Internado Itens'!N6)</f>
        <v>0</v>
      </c>
      <c r="Z6" s="198"/>
    </row>
    <row r="7" spans="1:38" x14ac:dyDescent="0.3">
      <c r="A7" s="199">
        <f>'Dados à Preencher'!A42</f>
        <v>4</v>
      </c>
      <c r="B7" s="329">
        <f>'Dados à Preencher'!B42</f>
        <v>0</v>
      </c>
      <c r="C7" s="329" t="e">
        <f>'Dados à Preencher'!#REF!</f>
        <v>#REF!</v>
      </c>
      <c r="D7" s="200">
        <f>'Dados à Preencher'!C42</f>
        <v>0</v>
      </c>
      <c r="E7" s="201">
        <f>'Dados à Preencher'!D42*'Dados à Preencher'!$D$36</f>
        <v>0</v>
      </c>
      <c r="F7" s="201">
        <f t="shared" ref="F7:F13" si="10">D7*E7</f>
        <v>0</v>
      </c>
      <c r="G7" s="202">
        <f>'Dados à Preencher'!F42</f>
        <v>0</v>
      </c>
      <c r="H7" s="203">
        <f t="shared" si="0"/>
        <v>0</v>
      </c>
      <c r="I7" s="201">
        <f>'Dados à Preencher'!G42*'Dados à Preencher'!$C$28</f>
        <v>0</v>
      </c>
      <c r="J7" s="201">
        <f ca="1">F7+(('Custo Importação Direta'!$G$24+'Custo Importação Direta'!$G$26+'Custo Importação Direta'!$G$28+'Custo Importação Direta'!$G$25)*'Custo Internado Itens'!H7)</f>
        <v>0</v>
      </c>
      <c r="K7" s="201">
        <f ca="1">J7*'Dados à Preencher'!H42</f>
        <v>0</v>
      </c>
      <c r="L7" s="201">
        <f ca="1">(J7+K7)*'Dados à Preencher'!I42</f>
        <v>0</v>
      </c>
      <c r="M7" s="201">
        <f ca="1">J7*'Dados à Preencher'!J42</f>
        <v>0</v>
      </c>
      <c r="N7" s="201">
        <f ca="1">J7*'Dados à Preencher'!K42</f>
        <v>0</v>
      </c>
      <c r="O7" s="201">
        <f t="shared" si="1"/>
        <v>0</v>
      </c>
      <c r="P7" s="201">
        <f t="shared" si="2"/>
        <v>0</v>
      </c>
      <c r="Q7" s="201">
        <f ca="1">(J7+K7+L7+M7+N7+O7+P7)/(1-'Dados à Preencher'!M42)</f>
        <v>0</v>
      </c>
      <c r="R7" s="201">
        <f ca="1">Q7*'Dados à Preencher'!M42</f>
        <v>0</v>
      </c>
      <c r="S7" s="201">
        <f t="shared" si="3"/>
        <v>0</v>
      </c>
      <c r="T7" s="204">
        <f t="shared" ca="1" si="4"/>
        <v>0</v>
      </c>
      <c r="U7" s="204">
        <f t="shared" ca="1" si="9"/>
        <v>0</v>
      </c>
      <c r="V7" s="204">
        <f t="shared" ca="1" si="6"/>
        <v>0</v>
      </c>
      <c r="W7" s="204">
        <f ca="1">U7-R7-L7-M7-'Custo Internado Itens'!Y7</f>
        <v>0</v>
      </c>
      <c r="X7" s="205">
        <f t="shared" ca="1" si="7"/>
        <v>0</v>
      </c>
      <c r="Y7" s="206">
        <f ca="1">IF('Dados à Preencher'!K42&gt;9.65%,'Custo Internado Itens'!X7,'Custo Internado Itens'!N7)</f>
        <v>0</v>
      </c>
      <c r="Z7" s="198"/>
    </row>
    <row r="8" spans="1:38" x14ac:dyDescent="0.3">
      <c r="A8" s="199">
        <f>'Dados à Preencher'!A43</f>
        <v>5</v>
      </c>
      <c r="B8" s="329">
        <f>'Dados à Preencher'!B43</f>
        <v>0</v>
      </c>
      <c r="C8" s="329" t="e">
        <f>'Dados à Preencher'!#REF!</f>
        <v>#REF!</v>
      </c>
      <c r="D8" s="200">
        <f>'Dados à Preencher'!C43</f>
        <v>0</v>
      </c>
      <c r="E8" s="201">
        <f>'Dados à Preencher'!D43*'Dados à Preencher'!$D$36</f>
        <v>0</v>
      </c>
      <c r="F8" s="201">
        <f t="shared" si="10"/>
        <v>0</v>
      </c>
      <c r="G8" s="202">
        <f>'Dados à Preencher'!F43</f>
        <v>0</v>
      </c>
      <c r="H8" s="203">
        <f t="shared" si="0"/>
        <v>0</v>
      </c>
      <c r="I8" s="201">
        <f>'Dados à Preencher'!G43*'Dados à Preencher'!$C$28</f>
        <v>0</v>
      </c>
      <c r="J8" s="201">
        <f ca="1">F8+(('Custo Importação Direta'!$G$24+'Custo Importação Direta'!$G$26+'Custo Importação Direta'!$G$28+'Custo Importação Direta'!$G$25)*'Custo Internado Itens'!H8)</f>
        <v>0</v>
      </c>
      <c r="K8" s="201">
        <f ca="1">J8*'Dados à Preencher'!H43</f>
        <v>0</v>
      </c>
      <c r="L8" s="201">
        <f ca="1">(J8+K8)*'Dados à Preencher'!I43</f>
        <v>0</v>
      </c>
      <c r="M8" s="201">
        <f ca="1">J8*'Dados à Preencher'!J43</f>
        <v>0</v>
      </c>
      <c r="N8" s="201">
        <f ca="1">J8*'Dados à Preencher'!K43</f>
        <v>0</v>
      </c>
      <c r="O8" s="201">
        <f t="shared" si="1"/>
        <v>0</v>
      </c>
      <c r="P8" s="201">
        <f t="shared" si="2"/>
        <v>0</v>
      </c>
      <c r="Q8" s="201">
        <f ca="1">(J8+K8+L8+M8+N8+O8+P8)/(1-'Dados à Preencher'!M43)</f>
        <v>0</v>
      </c>
      <c r="R8" s="201">
        <f ca="1">Q8*'Dados à Preencher'!M43</f>
        <v>0</v>
      </c>
      <c r="S8" s="201">
        <f t="shared" si="3"/>
        <v>0</v>
      </c>
      <c r="T8" s="204">
        <f t="shared" ca="1" si="4"/>
        <v>0</v>
      </c>
      <c r="U8" s="204">
        <f t="shared" ca="1" si="9"/>
        <v>0</v>
      </c>
      <c r="V8" s="204">
        <f t="shared" ca="1" si="6"/>
        <v>0</v>
      </c>
      <c r="W8" s="204">
        <f ca="1">U8-R8-L8-M8-'Custo Internado Itens'!Y8</f>
        <v>0</v>
      </c>
      <c r="X8" s="205">
        <f t="shared" ca="1" si="7"/>
        <v>0</v>
      </c>
      <c r="Y8" s="206">
        <f ca="1">IF('Dados à Preencher'!K43&gt;9.65%,'Custo Internado Itens'!X8,'Custo Internado Itens'!N8)</f>
        <v>0</v>
      </c>
      <c r="Z8" s="198"/>
    </row>
    <row r="9" spans="1:38" x14ac:dyDescent="0.3">
      <c r="A9" s="199">
        <f>'Dados à Preencher'!A44</f>
        <v>6</v>
      </c>
      <c r="B9" s="329">
        <f>'Dados à Preencher'!B44</f>
        <v>0</v>
      </c>
      <c r="C9" s="329" t="e">
        <f>'Dados à Preencher'!#REF!</f>
        <v>#REF!</v>
      </c>
      <c r="D9" s="200">
        <f>'Dados à Preencher'!C44</f>
        <v>0</v>
      </c>
      <c r="E9" s="201">
        <f>'Dados à Preencher'!D44*'Dados à Preencher'!$D$36</f>
        <v>0</v>
      </c>
      <c r="F9" s="201">
        <f t="shared" si="10"/>
        <v>0</v>
      </c>
      <c r="G9" s="202">
        <f>'Dados à Preencher'!F44</f>
        <v>0</v>
      </c>
      <c r="H9" s="203">
        <f t="shared" si="0"/>
        <v>0</v>
      </c>
      <c r="I9" s="201">
        <f>'Dados à Preencher'!G44*'Dados à Preencher'!$C$28</f>
        <v>0</v>
      </c>
      <c r="J9" s="201">
        <f ca="1">F9+(('Custo Importação Direta'!$G$24+'Custo Importação Direta'!$G$26+'Custo Importação Direta'!$G$28+'Custo Importação Direta'!$G$25)*'Custo Internado Itens'!H9)</f>
        <v>0</v>
      </c>
      <c r="K9" s="201">
        <f ca="1">J9*'Dados à Preencher'!H44</f>
        <v>0</v>
      </c>
      <c r="L9" s="201">
        <f ca="1">(J9+K9)*'Dados à Preencher'!I44</f>
        <v>0</v>
      </c>
      <c r="M9" s="201">
        <f ca="1">J9*'Dados à Preencher'!J44</f>
        <v>0</v>
      </c>
      <c r="N9" s="201">
        <f ca="1">J9*'Dados à Preencher'!K44</f>
        <v>0</v>
      </c>
      <c r="O9" s="201">
        <f t="shared" si="1"/>
        <v>0</v>
      </c>
      <c r="P9" s="201">
        <f t="shared" si="2"/>
        <v>0</v>
      </c>
      <c r="Q9" s="201">
        <f ca="1">(J9+K9+L9+M9+N9+O9+P9)/(1-'Dados à Preencher'!M44)</f>
        <v>0</v>
      </c>
      <c r="R9" s="201">
        <f ca="1">Q9*'Dados à Preencher'!M44</f>
        <v>0</v>
      </c>
      <c r="S9" s="201">
        <f t="shared" si="3"/>
        <v>0</v>
      </c>
      <c r="T9" s="204">
        <f t="shared" ca="1" si="4"/>
        <v>0</v>
      </c>
      <c r="U9" s="204">
        <f t="shared" ca="1" si="9"/>
        <v>0</v>
      </c>
      <c r="V9" s="204">
        <f t="shared" ca="1" si="6"/>
        <v>0</v>
      </c>
      <c r="W9" s="204">
        <f ca="1">U9-R9-L9-M9-'Custo Internado Itens'!Y9</f>
        <v>0</v>
      </c>
      <c r="X9" s="205">
        <f t="shared" ca="1" si="7"/>
        <v>0</v>
      </c>
      <c r="Y9" s="206">
        <f ca="1">IF('Dados à Preencher'!K44&gt;9.65%,'Custo Internado Itens'!X9,'Custo Internado Itens'!N9)</f>
        <v>0</v>
      </c>
      <c r="Z9" s="198"/>
    </row>
    <row r="10" spans="1:38" x14ac:dyDescent="0.3">
      <c r="A10" s="199">
        <f>'Dados à Preencher'!A45</f>
        <v>7</v>
      </c>
      <c r="B10" s="329">
        <f>'Dados à Preencher'!B45</f>
        <v>0</v>
      </c>
      <c r="C10" s="329" t="e">
        <f>'Dados à Preencher'!#REF!</f>
        <v>#REF!</v>
      </c>
      <c r="D10" s="200">
        <f>'Dados à Preencher'!C45</f>
        <v>0</v>
      </c>
      <c r="E10" s="201">
        <f>'Dados à Preencher'!D45*'Dados à Preencher'!$D$36</f>
        <v>0</v>
      </c>
      <c r="F10" s="201">
        <f t="shared" si="10"/>
        <v>0</v>
      </c>
      <c r="G10" s="202">
        <f>'Dados à Preencher'!F45</f>
        <v>0</v>
      </c>
      <c r="H10" s="203">
        <f t="shared" si="0"/>
        <v>0</v>
      </c>
      <c r="I10" s="201">
        <f>'Dados à Preencher'!G45*'Dados à Preencher'!$C$28</f>
        <v>0</v>
      </c>
      <c r="J10" s="201">
        <f ca="1">F10+(('Custo Importação Direta'!$G$24+'Custo Importação Direta'!$G$26+'Custo Importação Direta'!$G$28+'Custo Importação Direta'!$G$25)*'Custo Internado Itens'!H10)</f>
        <v>0</v>
      </c>
      <c r="K10" s="201">
        <f ca="1">J10*'Dados à Preencher'!H45</f>
        <v>0</v>
      </c>
      <c r="L10" s="201">
        <f ca="1">(J10+K10)*'Dados à Preencher'!I45</f>
        <v>0</v>
      </c>
      <c r="M10" s="201">
        <f ca="1">J10*'Dados à Preencher'!J45</f>
        <v>0</v>
      </c>
      <c r="N10" s="201">
        <f ca="1">J10*'Dados à Preencher'!K45</f>
        <v>0</v>
      </c>
      <c r="O10" s="201">
        <f t="shared" si="1"/>
        <v>0</v>
      </c>
      <c r="P10" s="201">
        <f t="shared" si="2"/>
        <v>0</v>
      </c>
      <c r="Q10" s="201">
        <f ca="1">(J10+K10+L10+M10+N10+O10+P10)/(1-'Dados à Preencher'!M45)</f>
        <v>0</v>
      </c>
      <c r="R10" s="201">
        <f ca="1">Q10*'Dados à Preencher'!M45</f>
        <v>0</v>
      </c>
      <c r="S10" s="201">
        <f t="shared" si="3"/>
        <v>0</v>
      </c>
      <c r="T10" s="204">
        <f t="shared" ca="1" si="4"/>
        <v>0</v>
      </c>
      <c r="U10" s="204">
        <f t="shared" ca="1" si="9"/>
        <v>0</v>
      </c>
      <c r="V10" s="204">
        <f t="shared" ca="1" si="6"/>
        <v>0</v>
      </c>
      <c r="W10" s="204">
        <f ca="1">U10-R10-L10-M10-'Custo Internado Itens'!Y10</f>
        <v>0</v>
      </c>
      <c r="X10" s="205">
        <f t="shared" ca="1" si="7"/>
        <v>0</v>
      </c>
      <c r="Y10" s="206">
        <f ca="1">IF('Dados à Preencher'!K45&gt;9.65%,'Custo Internado Itens'!X10,'Custo Internado Itens'!N10)</f>
        <v>0</v>
      </c>
      <c r="Z10" s="198"/>
    </row>
    <row r="11" spans="1:38" x14ac:dyDescent="0.3">
      <c r="A11" s="199">
        <f>'Dados à Preencher'!A46</f>
        <v>8</v>
      </c>
      <c r="B11" s="329">
        <f>'Dados à Preencher'!B46</f>
        <v>0</v>
      </c>
      <c r="C11" s="329" t="e">
        <f>'Dados à Preencher'!#REF!</f>
        <v>#REF!</v>
      </c>
      <c r="D11" s="200">
        <f>'Dados à Preencher'!C46</f>
        <v>0</v>
      </c>
      <c r="E11" s="201">
        <f>'Dados à Preencher'!D46*'Dados à Preencher'!$D$36</f>
        <v>0</v>
      </c>
      <c r="F11" s="201">
        <f t="shared" si="10"/>
        <v>0</v>
      </c>
      <c r="G11" s="202">
        <f>'Dados à Preencher'!F46</f>
        <v>0</v>
      </c>
      <c r="H11" s="203">
        <f t="shared" si="0"/>
        <v>0</v>
      </c>
      <c r="I11" s="201">
        <f>'Dados à Preencher'!G46*'Dados à Preencher'!$C$28</f>
        <v>0</v>
      </c>
      <c r="J11" s="201">
        <f ca="1">F11+(('Custo Importação Direta'!$G$24+'Custo Importação Direta'!$G$26+'Custo Importação Direta'!$G$28+'Custo Importação Direta'!$G$25)*'Custo Internado Itens'!H11)</f>
        <v>0</v>
      </c>
      <c r="K11" s="201">
        <f ca="1">J11*'Dados à Preencher'!H46</f>
        <v>0</v>
      </c>
      <c r="L11" s="201">
        <f ca="1">(J11+K11)*'Dados à Preencher'!I46</f>
        <v>0</v>
      </c>
      <c r="M11" s="201">
        <f ca="1">J11*'Dados à Preencher'!J46</f>
        <v>0</v>
      </c>
      <c r="N11" s="201">
        <f ca="1">J11*'Dados à Preencher'!K46</f>
        <v>0</v>
      </c>
      <c r="O11" s="201">
        <f t="shared" si="1"/>
        <v>0</v>
      </c>
      <c r="P11" s="201">
        <f t="shared" si="2"/>
        <v>0</v>
      </c>
      <c r="Q11" s="201">
        <f ca="1">(J11+K11+L11+M11+N11+O11+P11)/(1-'Dados à Preencher'!M46)</f>
        <v>0</v>
      </c>
      <c r="R11" s="201">
        <f ca="1">Q11*'Dados à Preencher'!M46</f>
        <v>0</v>
      </c>
      <c r="S11" s="201">
        <f t="shared" si="3"/>
        <v>0</v>
      </c>
      <c r="T11" s="204">
        <f t="shared" ca="1" si="4"/>
        <v>0</v>
      </c>
      <c r="U11" s="204">
        <f t="shared" ca="1" si="9"/>
        <v>0</v>
      </c>
      <c r="V11" s="204">
        <f t="shared" ca="1" si="6"/>
        <v>0</v>
      </c>
      <c r="W11" s="204">
        <f ca="1">U11-R11-L11-M11-'Custo Internado Itens'!Y11</f>
        <v>0</v>
      </c>
      <c r="X11" s="205">
        <f t="shared" ca="1" si="7"/>
        <v>0</v>
      </c>
      <c r="Y11" s="206">
        <f ca="1">IF('Dados à Preencher'!K46&gt;9.65%,'Custo Internado Itens'!X11,'Custo Internado Itens'!N11)</f>
        <v>0</v>
      </c>
      <c r="Z11" s="198"/>
    </row>
    <row r="12" spans="1:38" x14ac:dyDescent="0.3">
      <c r="A12" s="199">
        <f>'Dados à Preencher'!A47</f>
        <v>9</v>
      </c>
      <c r="B12" s="329">
        <f>'Dados à Preencher'!B47</f>
        <v>0</v>
      </c>
      <c r="C12" s="329" t="e">
        <f>'Dados à Preencher'!#REF!</f>
        <v>#REF!</v>
      </c>
      <c r="D12" s="200">
        <f>'Dados à Preencher'!C47</f>
        <v>0</v>
      </c>
      <c r="E12" s="201">
        <f>'Dados à Preencher'!D47*'Dados à Preencher'!$D$36</f>
        <v>0</v>
      </c>
      <c r="F12" s="201">
        <f t="shared" si="10"/>
        <v>0</v>
      </c>
      <c r="G12" s="202">
        <f>'Dados à Preencher'!F47</f>
        <v>0</v>
      </c>
      <c r="H12" s="203">
        <f t="shared" si="0"/>
        <v>0</v>
      </c>
      <c r="I12" s="201">
        <f>'Dados à Preencher'!G47*'Dados à Preencher'!$C$28</f>
        <v>0</v>
      </c>
      <c r="J12" s="201">
        <f ca="1">F12+(('Custo Importação Direta'!$G$24+'Custo Importação Direta'!$G$26+'Custo Importação Direta'!$G$28+'Custo Importação Direta'!$G$25)*'Custo Internado Itens'!H12)</f>
        <v>0</v>
      </c>
      <c r="K12" s="201">
        <f ca="1">J12*'Dados à Preencher'!H47</f>
        <v>0</v>
      </c>
      <c r="L12" s="201">
        <f ca="1">(J12+K12)*'Dados à Preencher'!I47</f>
        <v>0</v>
      </c>
      <c r="M12" s="201">
        <f ca="1">J12*'Dados à Preencher'!J47</f>
        <v>0</v>
      </c>
      <c r="N12" s="201">
        <f ca="1">J12*'Dados à Preencher'!K47</f>
        <v>0</v>
      </c>
      <c r="O12" s="201">
        <f t="shared" si="1"/>
        <v>0</v>
      </c>
      <c r="P12" s="201">
        <f t="shared" si="2"/>
        <v>0</v>
      </c>
      <c r="Q12" s="201">
        <f ca="1">(J12+K12+L12+M12+N12+O12+P12)/(1-'Dados à Preencher'!M47)</f>
        <v>0</v>
      </c>
      <c r="R12" s="201">
        <f ca="1">Q12*'Dados à Preencher'!M47</f>
        <v>0</v>
      </c>
      <c r="S12" s="201">
        <f t="shared" si="3"/>
        <v>0</v>
      </c>
      <c r="T12" s="204">
        <f t="shared" ca="1" si="4"/>
        <v>0</v>
      </c>
      <c r="U12" s="204">
        <f t="shared" ca="1" si="9"/>
        <v>0</v>
      </c>
      <c r="V12" s="204">
        <f t="shared" ca="1" si="6"/>
        <v>0</v>
      </c>
      <c r="W12" s="204">
        <f ca="1">U12-R12-L12-M12-'Custo Internado Itens'!Y12</f>
        <v>0</v>
      </c>
      <c r="X12" s="205">
        <f t="shared" ca="1" si="7"/>
        <v>0</v>
      </c>
      <c r="Y12" s="206">
        <f ca="1">IF('Dados à Preencher'!K47&gt;9.65%,'Custo Internado Itens'!X12,'Custo Internado Itens'!N12)</f>
        <v>0</v>
      </c>
      <c r="Z12" s="198"/>
    </row>
    <row r="13" spans="1:38" x14ac:dyDescent="0.3">
      <c r="A13" s="199">
        <f>'Dados à Preencher'!A48</f>
        <v>10</v>
      </c>
      <c r="B13" s="329">
        <f>'Dados à Preencher'!B48</f>
        <v>0</v>
      </c>
      <c r="C13" s="329" t="e">
        <f>'Dados à Preencher'!#REF!</f>
        <v>#REF!</v>
      </c>
      <c r="D13" s="200">
        <f>'Dados à Preencher'!C48</f>
        <v>0</v>
      </c>
      <c r="E13" s="201">
        <f>'Dados à Preencher'!D48*'Dados à Preencher'!$D$36</f>
        <v>0</v>
      </c>
      <c r="F13" s="201">
        <f t="shared" si="10"/>
        <v>0</v>
      </c>
      <c r="G13" s="202">
        <f>'Dados à Preencher'!F48</f>
        <v>0</v>
      </c>
      <c r="H13" s="203">
        <f t="shared" si="0"/>
        <v>0</v>
      </c>
      <c r="I13" s="201">
        <f>'Dados à Preencher'!G48*'Dados à Preencher'!$C$28</f>
        <v>0</v>
      </c>
      <c r="J13" s="201">
        <f ca="1">F13+(('Custo Importação Direta'!$G$24+'Custo Importação Direta'!$G$26+'Custo Importação Direta'!$G$28+'Custo Importação Direta'!$G$25)*'Custo Internado Itens'!H13)</f>
        <v>0</v>
      </c>
      <c r="K13" s="201">
        <f ca="1">J13*'Dados à Preencher'!H48</f>
        <v>0</v>
      </c>
      <c r="L13" s="201">
        <f ca="1">(J13+K13)*'Dados à Preencher'!I48</f>
        <v>0</v>
      </c>
      <c r="M13" s="201">
        <f ca="1">J13*'Dados à Preencher'!J48</f>
        <v>0</v>
      </c>
      <c r="N13" s="201">
        <f ca="1">J13*'Dados à Preencher'!K48</f>
        <v>0</v>
      </c>
      <c r="O13" s="201">
        <f t="shared" si="1"/>
        <v>0</v>
      </c>
      <c r="P13" s="201">
        <f t="shared" si="2"/>
        <v>0</v>
      </c>
      <c r="Q13" s="201">
        <f ca="1">(J13+K13+L13+M13+N13+O13+P13)/(1-'Dados à Preencher'!M48)</f>
        <v>0</v>
      </c>
      <c r="R13" s="201">
        <f ca="1">Q13*'Dados à Preencher'!M48</f>
        <v>0</v>
      </c>
      <c r="S13" s="201">
        <f t="shared" si="3"/>
        <v>0</v>
      </c>
      <c r="T13" s="204">
        <f t="shared" ca="1" si="4"/>
        <v>0</v>
      </c>
      <c r="U13" s="204">
        <f t="shared" ca="1" si="9"/>
        <v>0</v>
      </c>
      <c r="V13" s="204">
        <f t="shared" ca="1" si="6"/>
        <v>0</v>
      </c>
      <c r="W13" s="204">
        <f ca="1">U13-R13-L13-M13-'Custo Internado Itens'!Y13</f>
        <v>0</v>
      </c>
      <c r="X13" s="205">
        <f t="shared" ca="1" si="7"/>
        <v>0</v>
      </c>
      <c r="Y13" s="206">
        <f ca="1">IF('Dados à Preencher'!K48&gt;9.65%,'Custo Internado Itens'!X13,'Custo Internado Itens'!N13)</f>
        <v>0</v>
      </c>
      <c r="Z13" s="198"/>
    </row>
    <row r="14" spans="1:38" ht="14.4" thickBot="1" x14ac:dyDescent="0.35">
      <c r="A14" s="207" t="str">
        <f>'Dados à Preencher'!A49</f>
        <v>Total</v>
      </c>
      <c r="B14" s="335"/>
      <c r="C14" s="336"/>
      <c r="D14" s="208">
        <f>SUM(D4:D13)</f>
        <v>1000</v>
      </c>
      <c r="E14" s="209"/>
      <c r="F14" s="210">
        <f>SUM(F4:F13)</f>
        <v>28801.5</v>
      </c>
      <c r="G14" s="209"/>
      <c r="H14" s="211">
        <f t="shared" ref="H14:N14" si="11">SUM(H4:H13)</f>
        <v>1</v>
      </c>
      <c r="I14" s="212">
        <f t="shared" si="11"/>
        <v>0</v>
      </c>
      <c r="J14" s="210">
        <f t="shared" ca="1" si="11"/>
        <v>28818.780900000002</v>
      </c>
      <c r="K14" s="210">
        <f t="shared" ca="1" si="11"/>
        <v>2881.8780900000002</v>
      </c>
      <c r="L14" s="210">
        <f t="shared" ca="1" si="11"/>
        <v>0</v>
      </c>
      <c r="M14" s="210">
        <f t="shared" ca="1" si="11"/>
        <v>605.19439890000012</v>
      </c>
      <c r="N14" s="210">
        <f t="shared" ca="1" si="11"/>
        <v>2781.0123568500003</v>
      </c>
      <c r="O14" s="210">
        <f>VLOOKUP('Dados à Preencher'!C12,Tabela1[],2,FALSE)</f>
        <v>154.23000000000002</v>
      </c>
      <c r="P14" s="210">
        <f>'Custo Importação Direta'!G41</f>
        <v>21.740824</v>
      </c>
      <c r="Q14" s="210">
        <f ca="1">SUM(Q4:Q13)</f>
        <v>43003.459231402441</v>
      </c>
      <c r="R14" s="210">
        <f ca="1">SUM(R4:R13)</f>
        <v>7740.6226616524391</v>
      </c>
      <c r="S14" s="210">
        <f>'Custo Importação Direta'!G64+'Custo Importação Direta'!G65</f>
        <v>28850.822100000001</v>
      </c>
      <c r="T14" s="213">
        <f ca="1">SUM(T4:T13)</f>
        <v>43035.500431402441</v>
      </c>
      <c r="U14" s="213">
        <f ca="1">SUM(U4:U13)</f>
        <v>43035.500431402441</v>
      </c>
      <c r="V14" s="213">
        <f ca="1">SUM(V4:V13)</f>
        <v>35294.877769750005</v>
      </c>
      <c r="W14" s="213">
        <f ca="1">SUM(W4:W13)</f>
        <v>31908.671014000007</v>
      </c>
      <c r="X14" s="213">
        <f ca="1">SUM(X4:X13)</f>
        <v>2781.0123568500003</v>
      </c>
      <c r="Z14" s="198"/>
    </row>
    <row r="15" spans="1:38" x14ac:dyDescent="0.3">
      <c r="R15" s="214"/>
      <c r="Z15" s="198"/>
      <c r="AL15" s="215"/>
    </row>
  </sheetData>
  <sheetProtection formatCells="0" formatColumns="0" formatRows="0" insertColumns="0" insertRows="0" insertHyperlinks="0" sort="0" autoFilter="0" pivotTables="0"/>
  <mergeCells count="13">
    <mergeCell ref="B14:C14"/>
    <mergeCell ref="A2:T2"/>
    <mergeCell ref="B7:C7"/>
    <mergeCell ref="B8:C8"/>
    <mergeCell ref="B12:C12"/>
    <mergeCell ref="B9:C9"/>
    <mergeCell ref="B10:C10"/>
    <mergeCell ref="B11:C11"/>
    <mergeCell ref="B13:C13"/>
    <mergeCell ref="B3:C3"/>
    <mergeCell ref="B4:C4"/>
    <mergeCell ref="B5:C5"/>
    <mergeCell ref="B6:C6"/>
  </mergeCells>
  <phoneticPr fontId="20" type="noConversion"/>
  <pageMargins left="0.511811024" right="0.511811024" top="0.78740157499999996" bottom="0.78740157499999996" header="0.31496062000000002" footer="0.31496062000000002"/>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ACDBC-003E-439F-8A8C-E7DB0E55597C}">
  <dimension ref="A1:G61"/>
  <sheetViews>
    <sheetView showGridLines="0" topLeftCell="A29" workbookViewId="0">
      <selection activeCell="C44" sqref="C44"/>
    </sheetView>
  </sheetViews>
  <sheetFormatPr defaultRowHeight="14.4" x14ac:dyDescent="0.3"/>
  <cols>
    <col min="1" max="1" width="10" style="97" customWidth="1"/>
    <col min="2" max="2" width="37.21875" bestFit="1" customWidth="1"/>
    <col min="3" max="3" width="50.44140625" bestFit="1" customWidth="1"/>
    <col min="4" max="4" width="14" bestFit="1" customWidth="1"/>
    <col min="5" max="5" width="12.21875" style="97" customWidth="1"/>
    <col min="6" max="6" width="37.21875" bestFit="1" customWidth="1"/>
    <col min="7" max="7" width="45.21875" bestFit="1" customWidth="1"/>
    <col min="9" max="10" width="9.21875" customWidth="1"/>
  </cols>
  <sheetData>
    <row r="1" spans="1:7" x14ac:dyDescent="0.3">
      <c r="C1" s="341" t="s">
        <v>188</v>
      </c>
      <c r="D1" s="342"/>
    </row>
    <row r="2" spans="1:7" x14ac:dyDescent="0.3">
      <c r="C2" s="86" t="s">
        <v>187</v>
      </c>
      <c r="D2" s="87" t="str">
        <f>'Dados à Preencher'!C21</f>
        <v>1x40HC</v>
      </c>
    </row>
    <row r="3" spans="1:7" x14ac:dyDescent="0.3">
      <c r="C3" s="86" t="s">
        <v>186</v>
      </c>
      <c r="D3" s="87" t="e">
        <f>'Dados à Preencher'!C20/1000</f>
        <v>#VALUE!</v>
      </c>
    </row>
    <row r="4" spans="1:7" x14ac:dyDescent="0.3">
      <c r="C4" s="86" t="s">
        <v>185</v>
      </c>
      <c r="D4" s="88">
        <f ca="1">'Custo Importação Direta'!G29</f>
        <v>28818.780900000005</v>
      </c>
    </row>
    <row r="5" spans="1:7" ht="15" thickBot="1" x14ac:dyDescent="0.35">
      <c r="C5" s="89" t="s">
        <v>9</v>
      </c>
      <c r="D5" s="90">
        <f>'Dados à Preencher'!C19</f>
        <v>1</v>
      </c>
    </row>
    <row r="8" spans="1:7" ht="15" thickBot="1" x14ac:dyDescent="0.35"/>
    <row r="9" spans="1:7" ht="15" thickBot="1" x14ac:dyDescent="0.35">
      <c r="B9" s="349" t="s">
        <v>205</v>
      </c>
      <c r="C9" s="350"/>
      <c r="F9" s="349" t="s">
        <v>206</v>
      </c>
      <c r="G9" s="350"/>
    </row>
    <row r="10" spans="1:7" x14ac:dyDescent="0.3">
      <c r="A10" s="98">
        <f ca="1">D4*0.6%</f>
        <v>172.91268540000004</v>
      </c>
      <c r="B10" s="96">
        <f ca="1">IF(A10&gt;1100,A10,1100)</f>
        <v>1100</v>
      </c>
      <c r="C10" s="91" t="s">
        <v>207</v>
      </c>
      <c r="E10" s="98">
        <f ca="1">0.58%*D4</f>
        <v>167.14892922000001</v>
      </c>
      <c r="F10" s="96">
        <f ca="1">D4*1.16%</f>
        <v>334.29785844000003</v>
      </c>
      <c r="G10" s="72" t="s">
        <v>208</v>
      </c>
    </row>
    <row r="11" spans="1:7" x14ac:dyDescent="0.3">
      <c r="B11" s="92">
        <v>376</v>
      </c>
      <c r="C11" s="93" t="s">
        <v>209</v>
      </c>
      <c r="F11" s="96">
        <f ca="1">0.28%*D4</f>
        <v>80.69258652000002</v>
      </c>
      <c r="G11" s="72" t="s">
        <v>210</v>
      </c>
    </row>
    <row r="12" spans="1:7" x14ac:dyDescent="0.3">
      <c r="B12" s="92">
        <v>126</v>
      </c>
      <c r="C12" s="93" t="s">
        <v>211</v>
      </c>
      <c r="F12" s="73">
        <v>156</v>
      </c>
      <c r="G12" s="74" t="s">
        <v>212</v>
      </c>
    </row>
    <row r="13" spans="1:7" x14ac:dyDescent="0.3">
      <c r="B13" s="92">
        <v>318</v>
      </c>
      <c r="C13" s="93" t="s">
        <v>213</v>
      </c>
      <c r="F13" s="73">
        <v>124</v>
      </c>
      <c r="G13" s="74" t="s">
        <v>214</v>
      </c>
    </row>
    <row r="14" spans="1:7" x14ac:dyDescent="0.3">
      <c r="B14" s="92">
        <f>929*D5</f>
        <v>929</v>
      </c>
      <c r="C14" s="93" t="s">
        <v>215</v>
      </c>
      <c r="F14" s="75">
        <v>388</v>
      </c>
      <c r="G14" s="76" t="s">
        <v>216</v>
      </c>
    </row>
    <row r="15" spans="1:7" x14ac:dyDescent="0.3">
      <c r="B15" s="92">
        <v>2221</v>
      </c>
      <c r="C15" s="93" t="s">
        <v>217</v>
      </c>
      <c r="F15" s="73">
        <v>148</v>
      </c>
      <c r="G15" s="74" t="s">
        <v>218</v>
      </c>
    </row>
    <row r="16" spans="1:7" x14ac:dyDescent="0.3">
      <c r="B16" s="94">
        <v>3358</v>
      </c>
      <c r="C16" s="95" t="s">
        <v>219</v>
      </c>
      <c r="F16" s="75">
        <v>31</v>
      </c>
      <c r="G16" s="76" t="s">
        <v>220</v>
      </c>
    </row>
    <row r="17" spans="1:7" x14ac:dyDescent="0.3">
      <c r="B17" s="108">
        <f ca="1">SUM(B10:B14)+500</f>
        <v>3349</v>
      </c>
      <c r="C17" s="109" t="s">
        <v>173</v>
      </c>
      <c r="D17" s="110"/>
      <c r="F17" s="75">
        <v>542</v>
      </c>
      <c r="G17" s="76" t="s">
        <v>221</v>
      </c>
    </row>
    <row r="18" spans="1:7" ht="15" thickBot="1" x14ac:dyDescent="0.35">
      <c r="B18" s="108">
        <f ca="1">B17+B15</f>
        <v>5570</v>
      </c>
      <c r="C18" s="109" t="s">
        <v>251</v>
      </c>
      <c r="D18" s="110"/>
      <c r="F18" s="75">
        <v>1465</v>
      </c>
      <c r="G18" s="76" t="s">
        <v>222</v>
      </c>
    </row>
    <row r="19" spans="1:7" ht="15" thickBot="1" x14ac:dyDescent="0.35">
      <c r="B19" s="108">
        <f ca="1">B17+B16</f>
        <v>6707</v>
      </c>
      <c r="C19" s="109" t="s">
        <v>252</v>
      </c>
      <c r="D19" s="110"/>
      <c r="F19" s="69">
        <f ca="1">SUM(F10:F18)</f>
        <v>3268.9904449599999</v>
      </c>
      <c r="G19" s="70" t="s">
        <v>173</v>
      </c>
    </row>
    <row r="20" spans="1:7" x14ac:dyDescent="0.3">
      <c r="B20" s="111"/>
      <c r="C20" s="11"/>
    </row>
    <row r="22" spans="1:7" ht="15" thickBot="1" x14ac:dyDescent="0.35"/>
    <row r="23" spans="1:7" ht="15" thickBot="1" x14ac:dyDescent="0.35">
      <c r="B23" s="351" t="s">
        <v>184</v>
      </c>
      <c r="C23" s="352"/>
      <c r="F23" s="353" t="s">
        <v>183</v>
      </c>
      <c r="G23" s="354"/>
    </row>
    <row r="24" spans="1:7" x14ac:dyDescent="0.3">
      <c r="B24" s="67">
        <v>91</v>
      </c>
      <c r="C24" s="66" t="s">
        <v>182</v>
      </c>
      <c r="F24" s="63">
        <v>59</v>
      </c>
      <c r="G24" s="64" t="s">
        <v>182</v>
      </c>
    </row>
    <row r="25" spans="1:7" x14ac:dyDescent="0.3">
      <c r="A25" s="98">
        <f ca="1">0.39%*D4</f>
        <v>112.39324551000003</v>
      </c>
      <c r="B25" s="71">
        <f ca="1">IF(A25&gt;961,A25,961)</f>
        <v>961</v>
      </c>
      <c r="C25" s="77" t="s">
        <v>253</v>
      </c>
      <c r="E25" s="98">
        <f ca="1">0.35%*D4</f>
        <v>100.86573315000001</v>
      </c>
      <c r="F25" s="65">
        <f ca="1">IF(E25&gt;864,E25,864)</f>
        <v>864</v>
      </c>
      <c r="G25" s="77" t="s">
        <v>189</v>
      </c>
    </row>
    <row r="26" spans="1:7" x14ac:dyDescent="0.3">
      <c r="B26" s="63">
        <v>259</v>
      </c>
      <c r="C26" s="64" t="s">
        <v>178</v>
      </c>
      <c r="F26" s="63">
        <v>29</v>
      </c>
      <c r="G26" s="64" t="s">
        <v>181</v>
      </c>
    </row>
    <row r="27" spans="1:7" x14ac:dyDescent="0.3">
      <c r="A27" s="97">
        <f>IFERROR(41*D2,0)</f>
        <v>0</v>
      </c>
      <c r="B27" s="63">
        <v>630</v>
      </c>
      <c r="C27" s="64" t="s">
        <v>223</v>
      </c>
      <c r="E27" s="97">
        <f>IFERROR(67*D2,0)</f>
        <v>0</v>
      </c>
      <c r="F27" s="63">
        <v>131</v>
      </c>
      <c r="G27" s="64" t="s">
        <v>224</v>
      </c>
    </row>
    <row r="28" spans="1:7" ht="28.8" x14ac:dyDescent="0.3">
      <c r="A28" s="97" t="e">
        <f>41*D3</f>
        <v>#VALUE!</v>
      </c>
      <c r="B28" s="63">
        <v>314</v>
      </c>
      <c r="C28" s="64" t="s">
        <v>225</v>
      </c>
      <c r="E28" s="97" t="e">
        <f>67*D3</f>
        <v>#VALUE!</v>
      </c>
      <c r="F28" s="63" t="e">
        <f>MAX(E27:E28)</f>
        <v>#VALUE!</v>
      </c>
      <c r="G28" s="80" t="s">
        <v>190</v>
      </c>
    </row>
    <row r="29" spans="1:7" ht="26.55" customHeight="1" thickBot="1" x14ac:dyDescent="0.35">
      <c r="A29" s="98">
        <f ca="1">0.04%*D4</f>
        <v>11.527512360000003</v>
      </c>
      <c r="B29" s="71">
        <f ca="1">IF(A29&gt;864,A25,864)</f>
        <v>864</v>
      </c>
      <c r="C29" s="78" t="s">
        <v>254</v>
      </c>
      <c r="E29" s="98">
        <f ca="1">0.04%*D4</f>
        <v>11.527512360000003</v>
      </c>
      <c r="F29" s="71">
        <f ca="1">IF(E29&gt;864,E25,864)</f>
        <v>864</v>
      </c>
      <c r="G29" s="80" t="s">
        <v>191</v>
      </c>
    </row>
    <row r="30" spans="1:7" ht="15" thickBot="1" x14ac:dyDescent="0.35">
      <c r="B30" s="69">
        <f ca="1">B24+B25+B26+B27+B28+B29</f>
        <v>3119</v>
      </c>
      <c r="C30" s="68" t="s">
        <v>173</v>
      </c>
      <c r="E30" s="97">
        <f ca="1">IF(E29&lt;864,864,E29)</f>
        <v>864</v>
      </c>
      <c r="F30" s="63">
        <v>480</v>
      </c>
      <c r="G30" s="64" t="s">
        <v>226</v>
      </c>
    </row>
    <row r="31" spans="1:7" ht="15" thickBot="1" x14ac:dyDescent="0.35">
      <c r="F31" s="79" t="e">
        <f ca="1">F24+F25+F26+F27+F28+F29+F30</f>
        <v>#VALUE!</v>
      </c>
      <c r="G31" s="112" t="s">
        <v>173</v>
      </c>
    </row>
    <row r="33" spans="1:7" ht="15" thickBot="1" x14ac:dyDescent="0.35"/>
    <row r="34" spans="1:7" ht="15" thickBot="1" x14ac:dyDescent="0.35">
      <c r="B34" s="349" t="s">
        <v>255</v>
      </c>
      <c r="C34" s="350"/>
      <c r="F34" s="343" t="s">
        <v>180</v>
      </c>
      <c r="G34" s="344"/>
    </row>
    <row r="35" spans="1:7" ht="15" thickBot="1" x14ac:dyDescent="0.35">
      <c r="A35" s="98">
        <f ca="1">0.58%*D4</f>
        <v>167.14892922000001</v>
      </c>
      <c r="B35" s="96">
        <f ca="1">IF(A35&gt;1100,A35,1100)</f>
        <v>1100</v>
      </c>
      <c r="C35" s="91" t="s">
        <v>207</v>
      </c>
      <c r="F35" s="347" t="s">
        <v>179</v>
      </c>
      <c r="G35" s="348"/>
    </row>
    <row r="36" spans="1:7" x14ac:dyDescent="0.3">
      <c r="A36" s="98"/>
      <c r="B36" s="92">
        <v>376</v>
      </c>
      <c r="C36" s="93" t="s">
        <v>209</v>
      </c>
      <c r="F36" s="118"/>
      <c r="G36" s="118"/>
    </row>
    <row r="37" spans="1:7" x14ac:dyDescent="0.3">
      <c r="A37" s="98"/>
      <c r="B37" s="92">
        <v>126</v>
      </c>
      <c r="C37" s="93" t="s">
        <v>211</v>
      </c>
      <c r="F37" s="118"/>
      <c r="G37" s="118"/>
    </row>
    <row r="38" spans="1:7" x14ac:dyDescent="0.3">
      <c r="A38" s="98"/>
      <c r="B38" s="92">
        <v>318</v>
      </c>
      <c r="C38" s="93" t="s">
        <v>213</v>
      </c>
      <c r="F38" s="118"/>
      <c r="G38" s="118"/>
    </row>
    <row r="39" spans="1:7" x14ac:dyDescent="0.3">
      <c r="B39" s="92">
        <f>929*D30</f>
        <v>0</v>
      </c>
      <c r="C39" s="93" t="s">
        <v>215</v>
      </c>
    </row>
    <row r="40" spans="1:7" x14ac:dyDescent="0.3">
      <c r="B40" s="92">
        <v>2221</v>
      </c>
      <c r="C40" s="93" t="s">
        <v>217</v>
      </c>
    </row>
    <row r="41" spans="1:7" ht="15" thickBot="1" x14ac:dyDescent="0.35">
      <c r="B41" s="94">
        <v>3358</v>
      </c>
      <c r="C41" s="95" t="s">
        <v>219</v>
      </c>
    </row>
    <row r="42" spans="1:7" x14ac:dyDescent="0.3">
      <c r="B42" s="108">
        <f ca="1">SUM(B35:B39)+500</f>
        <v>2420</v>
      </c>
      <c r="C42" s="109" t="s">
        <v>173</v>
      </c>
      <c r="F42" s="337" t="s">
        <v>227</v>
      </c>
      <c r="G42" s="338"/>
    </row>
    <row r="43" spans="1:7" x14ac:dyDescent="0.3">
      <c r="B43" s="108">
        <f ca="1">B42+B40</f>
        <v>4641</v>
      </c>
      <c r="C43" s="109" t="s">
        <v>251</v>
      </c>
      <c r="F43" s="71">
        <f ca="1">0.55%*D4</f>
        <v>158.50329495000005</v>
      </c>
      <c r="G43" s="74" t="s">
        <v>228</v>
      </c>
    </row>
    <row r="44" spans="1:7" x14ac:dyDescent="0.3">
      <c r="B44" s="108">
        <f ca="1">B42+B41</f>
        <v>5778</v>
      </c>
      <c r="C44" s="109" t="s">
        <v>252</v>
      </c>
      <c r="F44" s="73">
        <f>10800*0.0569</f>
        <v>614.52</v>
      </c>
      <c r="G44" s="74" t="s">
        <v>229</v>
      </c>
    </row>
    <row r="45" spans="1:7" ht="15" thickBot="1" x14ac:dyDescent="0.35">
      <c r="F45" s="73">
        <f>10800*0.9483</f>
        <v>10241.640000000001</v>
      </c>
      <c r="G45" s="74" t="s">
        <v>230</v>
      </c>
    </row>
    <row r="46" spans="1:7" ht="15" thickBot="1" x14ac:dyDescent="0.35">
      <c r="B46" s="62">
        <f>1943*D5</f>
        <v>1943</v>
      </c>
      <c r="C46" s="61" t="s">
        <v>177</v>
      </c>
      <c r="F46" s="81">
        <f ca="1">SUM(F43:F45)</f>
        <v>11014.663294950002</v>
      </c>
      <c r="G46" s="82" t="s">
        <v>173</v>
      </c>
    </row>
    <row r="48" spans="1:7" ht="15" thickBot="1" x14ac:dyDescent="0.35"/>
    <row r="49" spans="2:7" ht="15" thickBot="1" x14ac:dyDescent="0.35">
      <c r="B49" s="339" t="s">
        <v>231</v>
      </c>
      <c r="C49" s="340"/>
      <c r="F49" s="345" t="s">
        <v>176</v>
      </c>
      <c r="G49" s="346"/>
    </row>
    <row r="50" spans="2:7" ht="15" thickBot="1" x14ac:dyDescent="0.35">
      <c r="B50" s="83">
        <f ca="1">0.12%*D4</f>
        <v>34.582537080000002</v>
      </c>
      <c r="C50" s="84" t="s">
        <v>192</v>
      </c>
      <c r="F50" s="85" t="s">
        <v>175</v>
      </c>
      <c r="G50" s="74" t="s">
        <v>174</v>
      </c>
    </row>
    <row r="51" spans="2:7" ht="15" thickBot="1" x14ac:dyDescent="0.35">
      <c r="B51" s="83">
        <f>IFERROR(11.45*D2,11.45)</f>
        <v>11.45</v>
      </c>
      <c r="C51" s="84" t="s">
        <v>232</v>
      </c>
      <c r="F51" s="83">
        <f ca="1">176+(0.1%*D4)</f>
        <v>204.81878090000001</v>
      </c>
      <c r="G51" s="82" t="s">
        <v>173</v>
      </c>
    </row>
    <row r="52" spans="2:7" ht="15" thickBot="1" x14ac:dyDescent="0.35">
      <c r="B52" s="83">
        <v>17.3</v>
      </c>
      <c r="C52" s="84" t="s">
        <v>233</v>
      </c>
    </row>
    <row r="53" spans="2:7" ht="15" thickBot="1" x14ac:dyDescent="0.35">
      <c r="B53" s="81">
        <f ca="1">SUM(B50:B52)</f>
        <v>63.332537079999994</v>
      </c>
      <c r="C53" s="82" t="s">
        <v>173</v>
      </c>
    </row>
    <row r="54" spans="2:7" ht="15" thickBot="1" x14ac:dyDescent="0.35">
      <c r="B54" s="57"/>
      <c r="C54" s="113"/>
    </row>
    <row r="55" spans="2:7" x14ac:dyDescent="0.3">
      <c r="F55" s="337" t="s">
        <v>234</v>
      </c>
      <c r="G55" s="338"/>
    </row>
    <row r="56" spans="2:7" ht="15" thickBot="1" x14ac:dyDescent="0.35">
      <c r="F56" s="71">
        <f ca="1">0.75%*D4</f>
        <v>216.14085675000004</v>
      </c>
      <c r="G56" s="74" t="s">
        <v>235</v>
      </c>
    </row>
    <row r="57" spans="2:7" ht="15" thickBot="1" x14ac:dyDescent="0.35">
      <c r="B57" s="339" t="s">
        <v>236</v>
      </c>
      <c r="C57" s="340"/>
      <c r="F57" s="73">
        <f>10800*0.0773</f>
        <v>834.83999999999992</v>
      </c>
      <c r="G57" s="74" t="s">
        <v>237</v>
      </c>
    </row>
    <row r="58" spans="2:7" ht="15" thickBot="1" x14ac:dyDescent="0.35">
      <c r="B58" s="83">
        <f ca="1">0.12%*D4</f>
        <v>34.582537080000002</v>
      </c>
      <c r="C58" s="84" t="s">
        <v>192</v>
      </c>
      <c r="F58" s="73">
        <f>10800*1.2888</f>
        <v>13919.039999999999</v>
      </c>
      <c r="G58" s="74" t="s">
        <v>238</v>
      </c>
    </row>
    <row r="59" spans="2:7" ht="15" thickBot="1" x14ac:dyDescent="0.35">
      <c r="B59" s="83">
        <f>216*2</f>
        <v>432</v>
      </c>
      <c r="C59" s="84" t="s">
        <v>239</v>
      </c>
      <c r="F59" s="81">
        <f ca="1">SUM(F56:F58)</f>
        <v>14970.020856749999</v>
      </c>
      <c r="G59" s="82" t="s">
        <v>173</v>
      </c>
    </row>
    <row r="60" spans="2:7" ht="15" thickBot="1" x14ac:dyDescent="0.35">
      <c r="B60" s="83">
        <v>17.3</v>
      </c>
      <c r="C60" s="84" t="s">
        <v>233</v>
      </c>
    </row>
    <row r="61" spans="2:7" ht="15" thickBot="1" x14ac:dyDescent="0.35">
      <c r="B61" s="81">
        <f ca="1">SUM(B58:B60)</f>
        <v>483.88253708000002</v>
      </c>
      <c r="C61" s="82" t="s">
        <v>173</v>
      </c>
    </row>
  </sheetData>
  <sheetProtection algorithmName="SHA-512" hashValue="SUBZgy9BGcwfbhXMzGPB1z7NqHXbw6N3S+XUGYd+g9qyw3VSfw/+m6YfJded2HauWXt7vFaEtiUgFEvPSxwnWw==" saltValue="Z+OrFfYejZOUcKv41hqrFw==" spinCount="100000" sheet="1" formatCells="0" formatColumns="0" formatRows="0" insertColumns="0" insertRows="0" deleteColumns="0" deleteRows="0"/>
  <mergeCells count="13">
    <mergeCell ref="F55:G55"/>
    <mergeCell ref="B57:C57"/>
    <mergeCell ref="C1:D1"/>
    <mergeCell ref="F34:G34"/>
    <mergeCell ref="F49:G49"/>
    <mergeCell ref="F35:G35"/>
    <mergeCell ref="B34:C34"/>
    <mergeCell ref="B9:C9"/>
    <mergeCell ref="F9:G9"/>
    <mergeCell ref="B23:C23"/>
    <mergeCell ref="F23:G23"/>
    <mergeCell ref="F42:G42"/>
    <mergeCell ref="B49:C49"/>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D561-47B8-4444-926A-E3E3E0E4A996}">
  <dimension ref="A1:AW114"/>
  <sheetViews>
    <sheetView showGridLines="0" workbookViewId="0">
      <selection activeCell="AO20" sqref="AO20"/>
    </sheetView>
  </sheetViews>
  <sheetFormatPr defaultRowHeight="14.4" x14ac:dyDescent="0.3"/>
  <cols>
    <col min="2" max="2" width="17.21875" customWidth="1"/>
    <col min="3" max="3" width="15.21875" customWidth="1"/>
    <col min="4" max="4" width="13.77734375" customWidth="1"/>
    <col min="10" max="10" width="9.77734375" bestFit="1" customWidth="1"/>
    <col min="11" max="11" width="12.44140625" bestFit="1" customWidth="1"/>
    <col min="13" max="13" width="10" bestFit="1" customWidth="1"/>
    <col min="16" max="16" width="11" bestFit="1" customWidth="1"/>
    <col min="34" max="34" width="17.21875" bestFit="1" customWidth="1"/>
    <col min="37" max="37" width="17.44140625" bestFit="1" customWidth="1"/>
    <col min="39" max="39" width="17.5546875" customWidth="1"/>
    <col min="40" max="40" width="12.77734375" style="135" hidden="1" customWidth="1"/>
    <col min="41" max="41" width="18.77734375" customWidth="1"/>
    <col min="42" max="42" width="14.21875" customWidth="1"/>
    <col min="43" max="43" width="12.21875" bestFit="1" customWidth="1"/>
    <col min="44" max="44" width="21.44140625" bestFit="1" customWidth="1"/>
    <col min="45" max="45" width="21.44140625" customWidth="1"/>
    <col min="46" max="46" width="14.21875" customWidth="1"/>
    <col min="47" max="47" width="16.77734375" customWidth="1"/>
    <col min="48" max="48" width="13.21875" bestFit="1" customWidth="1"/>
    <col min="49" max="49" width="12.21875" bestFit="1" customWidth="1"/>
  </cols>
  <sheetData>
    <row r="1" spans="1:49" x14ac:dyDescent="0.3">
      <c r="A1" s="127" t="s">
        <v>330</v>
      </c>
      <c r="B1" s="127"/>
      <c r="C1" s="127"/>
      <c r="D1" s="127"/>
      <c r="E1" s="127"/>
      <c r="F1" s="127"/>
      <c r="G1" s="127"/>
      <c r="H1" s="127"/>
    </row>
    <row r="2" spans="1:49" x14ac:dyDescent="0.3">
      <c r="A2" s="127" t="s">
        <v>336</v>
      </c>
      <c r="B2" s="127"/>
      <c r="C2" s="127"/>
      <c r="D2" s="127"/>
      <c r="E2" s="127"/>
      <c r="F2" s="127"/>
      <c r="G2" s="127"/>
      <c r="H2" s="127"/>
    </row>
    <row r="3" spans="1:49" x14ac:dyDescent="0.3">
      <c r="A3" s="127" t="s">
        <v>347</v>
      </c>
      <c r="B3" s="127"/>
      <c r="C3" s="127"/>
      <c r="D3" s="127"/>
      <c r="E3" s="127"/>
      <c r="F3" s="127"/>
      <c r="G3" s="127"/>
      <c r="H3" s="127"/>
    </row>
    <row r="5" spans="1:49" ht="15" customHeight="1" x14ac:dyDescent="0.3">
      <c r="A5" s="355" t="s">
        <v>263</v>
      </c>
      <c r="B5" s="356" t="s">
        <v>264</v>
      </c>
      <c r="C5" s="356" t="s">
        <v>265</v>
      </c>
      <c r="D5" s="356" t="s">
        <v>55</v>
      </c>
      <c r="E5" s="356" t="s">
        <v>266</v>
      </c>
      <c r="F5" s="356" t="s">
        <v>3</v>
      </c>
      <c r="G5" s="138"/>
      <c r="H5" s="356" t="s">
        <v>267</v>
      </c>
      <c r="I5" s="357" t="s">
        <v>268</v>
      </c>
      <c r="J5" s="357"/>
      <c r="K5" s="357"/>
      <c r="L5" s="357"/>
      <c r="M5" s="357"/>
      <c r="N5" s="357"/>
      <c r="O5" s="357"/>
      <c r="P5" s="357"/>
      <c r="Q5" s="358" t="s">
        <v>269</v>
      </c>
      <c r="R5" s="358"/>
      <c r="S5" s="358"/>
      <c r="T5" s="358"/>
      <c r="U5" s="358"/>
      <c r="V5" s="358"/>
      <c r="W5" s="358"/>
      <c r="X5" s="358"/>
      <c r="Y5" s="358"/>
      <c r="Z5" s="358"/>
      <c r="AA5" s="358"/>
      <c r="AB5" s="358"/>
      <c r="AC5" s="358"/>
      <c r="AD5" s="358"/>
      <c r="AE5" s="358"/>
      <c r="AF5" s="358"/>
      <c r="AG5" s="358"/>
      <c r="AH5" s="358"/>
      <c r="AI5" s="358"/>
      <c r="AJ5" s="358"/>
      <c r="AK5" s="358"/>
      <c r="AL5" s="358"/>
      <c r="AM5" s="359" t="s">
        <v>270</v>
      </c>
      <c r="AN5" s="370" t="s">
        <v>335</v>
      </c>
      <c r="AO5" s="374"/>
      <c r="AP5" s="374"/>
      <c r="AQ5" s="374"/>
      <c r="AR5" s="374"/>
      <c r="AS5" s="374"/>
      <c r="AT5" s="374"/>
      <c r="AU5" s="374"/>
      <c r="AV5" s="374"/>
      <c r="AW5" s="371"/>
    </row>
    <row r="6" spans="1:49" ht="29.25" customHeight="1" x14ac:dyDescent="0.3">
      <c r="A6" s="355"/>
      <c r="B6" s="356"/>
      <c r="C6" s="356"/>
      <c r="D6" s="356"/>
      <c r="E6" s="356"/>
      <c r="F6" s="356"/>
      <c r="G6" s="139" t="s">
        <v>271</v>
      </c>
      <c r="H6" s="356"/>
      <c r="I6" s="128" t="s">
        <v>272</v>
      </c>
      <c r="J6" s="128" t="s">
        <v>273</v>
      </c>
      <c r="K6" s="128" t="s">
        <v>273</v>
      </c>
      <c r="L6" s="362" t="s">
        <v>274</v>
      </c>
      <c r="M6" s="362" t="s">
        <v>275</v>
      </c>
      <c r="N6" s="357" t="s">
        <v>276</v>
      </c>
      <c r="O6" s="357" t="s">
        <v>277</v>
      </c>
      <c r="P6" s="357" t="s">
        <v>185</v>
      </c>
      <c r="Q6" s="358" t="s">
        <v>278</v>
      </c>
      <c r="R6" s="358"/>
      <c r="S6" s="358" t="s">
        <v>279</v>
      </c>
      <c r="T6" s="358"/>
      <c r="U6" s="358" t="s">
        <v>280</v>
      </c>
      <c r="V6" s="358"/>
      <c r="W6" s="358" t="s">
        <v>281</v>
      </c>
      <c r="X6" s="358"/>
      <c r="Y6" s="358" t="s">
        <v>282</v>
      </c>
      <c r="Z6" s="358"/>
      <c r="AA6" s="358" t="s">
        <v>283</v>
      </c>
      <c r="AB6" s="358"/>
      <c r="AC6" s="358" t="s">
        <v>284</v>
      </c>
      <c r="AD6" s="358"/>
      <c r="AE6" s="358" t="s">
        <v>285</v>
      </c>
      <c r="AF6" s="358"/>
      <c r="AG6" s="358" t="s">
        <v>286</v>
      </c>
      <c r="AH6" s="363" t="s">
        <v>287</v>
      </c>
      <c r="AI6" s="358" t="s">
        <v>288</v>
      </c>
      <c r="AJ6" s="358"/>
      <c r="AK6" s="358" t="s">
        <v>69</v>
      </c>
      <c r="AL6" s="358" t="s">
        <v>289</v>
      </c>
      <c r="AM6" s="360"/>
      <c r="AN6" s="375" t="s">
        <v>156</v>
      </c>
      <c r="AO6" s="375" t="s">
        <v>331</v>
      </c>
      <c r="AP6" s="375" t="s">
        <v>332</v>
      </c>
      <c r="AQ6" s="375" t="s">
        <v>333</v>
      </c>
      <c r="AR6" s="370" t="s">
        <v>334</v>
      </c>
      <c r="AS6" s="371"/>
      <c r="AT6" s="370" t="s">
        <v>108</v>
      </c>
      <c r="AU6" s="371"/>
      <c r="AV6" s="372" t="s">
        <v>109</v>
      </c>
      <c r="AW6" s="373"/>
    </row>
    <row r="7" spans="1:49" ht="31.5" customHeight="1" x14ac:dyDescent="0.3">
      <c r="A7" s="355"/>
      <c r="B7" s="356"/>
      <c r="C7" s="356"/>
      <c r="D7" s="356"/>
      <c r="E7" s="356"/>
      <c r="F7" s="356"/>
      <c r="G7" s="140"/>
      <c r="H7" s="356"/>
      <c r="I7" s="129" t="s">
        <v>290</v>
      </c>
      <c r="J7" s="129" t="s">
        <v>290</v>
      </c>
      <c r="K7" s="129" t="s">
        <v>291</v>
      </c>
      <c r="L7" s="362"/>
      <c r="M7" s="362"/>
      <c r="N7" s="357"/>
      <c r="O7" s="357"/>
      <c r="P7" s="357"/>
      <c r="Q7" s="358"/>
      <c r="R7" s="358"/>
      <c r="S7" s="358"/>
      <c r="T7" s="358"/>
      <c r="U7" s="358"/>
      <c r="V7" s="358"/>
      <c r="W7" s="358"/>
      <c r="X7" s="358"/>
      <c r="Y7" s="358"/>
      <c r="Z7" s="358"/>
      <c r="AA7" s="358"/>
      <c r="AB7" s="358"/>
      <c r="AC7" s="358"/>
      <c r="AD7" s="358"/>
      <c r="AE7" s="358"/>
      <c r="AF7" s="358"/>
      <c r="AG7" s="358"/>
      <c r="AH7" s="363"/>
      <c r="AI7" s="358"/>
      <c r="AJ7" s="358"/>
      <c r="AK7" s="358"/>
      <c r="AL7" s="358"/>
      <c r="AM7" s="361"/>
      <c r="AN7" s="375"/>
      <c r="AO7" s="375"/>
      <c r="AP7" s="375"/>
      <c r="AQ7" s="375"/>
      <c r="AR7" s="134" t="s">
        <v>37</v>
      </c>
      <c r="AS7" s="134" t="s">
        <v>76</v>
      </c>
      <c r="AT7" s="134" t="s">
        <v>37</v>
      </c>
      <c r="AU7" s="134" t="s">
        <v>76</v>
      </c>
      <c r="AV7" s="134" t="s">
        <v>37</v>
      </c>
      <c r="AW7" s="134" t="s">
        <v>76</v>
      </c>
    </row>
    <row r="8" spans="1:49" x14ac:dyDescent="0.3">
      <c r="A8" s="130">
        <v>1</v>
      </c>
      <c r="B8" s="130">
        <v>1</v>
      </c>
      <c r="C8" s="130" t="s">
        <v>292</v>
      </c>
      <c r="D8" s="130" t="s">
        <v>293</v>
      </c>
      <c r="E8" s="130">
        <v>1</v>
      </c>
      <c r="F8" s="130" t="s">
        <v>294</v>
      </c>
      <c r="G8" s="130" t="s">
        <v>295</v>
      </c>
      <c r="H8" s="130">
        <v>2.5</v>
      </c>
      <c r="I8" s="131">
        <v>149</v>
      </c>
      <c r="J8" s="131">
        <f>E8*I8</f>
        <v>149</v>
      </c>
      <c r="K8" s="130">
        <v>755.7876</v>
      </c>
      <c r="L8" s="130">
        <v>0</v>
      </c>
      <c r="M8" s="130">
        <v>117.2997</v>
      </c>
      <c r="N8" s="130">
        <v>0</v>
      </c>
      <c r="O8" s="130">
        <v>172.125088715</v>
      </c>
      <c r="P8" s="130">
        <v>873.08730000000003</v>
      </c>
      <c r="Q8" s="364">
        <v>18</v>
      </c>
      <c r="R8" s="364"/>
      <c r="S8" s="364">
        <v>157.16</v>
      </c>
      <c r="T8" s="364"/>
      <c r="U8" s="364">
        <v>9.75</v>
      </c>
      <c r="V8" s="364"/>
      <c r="W8" s="364">
        <v>100.45</v>
      </c>
      <c r="X8" s="364"/>
      <c r="Y8" s="364">
        <v>2.1</v>
      </c>
      <c r="Z8" s="364"/>
      <c r="AA8" s="364">
        <v>18.329999999999998</v>
      </c>
      <c r="AB8" s="364"/>
      <c r="AC8" s="364">
        <v>9.65</v>
      </c>
      <c r="AD8" s="364"/>
      <c r="AE8" s="364">
        <v>84.25</v>
      </c>
      <c r="AF8" s="364"/>
      <c r="AG8" s="130">
        <v>1487.19</v>
      </c>
      <c r="AH8" s="130">
        <v>17</v>
      </c>
      <c r="AI8" s="365">
        <v>252.82</v>
      </c>
      <c r="AJ8" s="366"/>
      <c r="AK8" s="130">
        <v>1.0163</v>
      </c>
      <c r="AL8" s="130">
        <v>0</v>
      </c>
      <c r="AM8" s="130">
        <v>1.085</v>
      </c>
      <c r="AN8" s="136">
        <f>P8/$P$114</f>
        <v>2.7053484332233277E-3</v>
      </c>
      <c r="AO8" s="57" t="e">
        <f>((#REF!+#REF!+#REF!+#REF!+#REF!+#REF!+#REF!)*'assessoria- realizado por item'!AN8)-M8-N8</f>
        <v>#REF!</v>
      </c>
      <c r="AP8" s="57" t="e">
        <f>(#REF!*'assessoria- realizado por item'!AN8)-K8</f>
        <v>#REF!</v>
      </c>
      <c r="AQ8" s="57" t="e">
        <f>(#REF!+#REF!+#REF!+#REF!+#REF!+#REF!+#REF!+#REF!+#REF!+#REF!+#REF!+#REF!+#REF!+#REF!+#REF!+#REF!+#REF!+#REF!+#REF!+#REF!)*AN8</f>
        <v>#REF!</v>
      </c>
      <c r="AR8" s="57" t="e">
        <f>P8+S8+W8+AA8+AE8+AI8+AK8+AL8+AM8+AO8+AP8+AQ8</f>
        <v>#REF!</v>
      </c>
      <c r="AS8" s="57" t="e">
        <f>AR8/E8</f>
        <v>#REF!</v>
      </c>
      <c r="AT8" s="57" t="e">
        <f>AR8-W8-AI8</f>
        <v>#REF!</v>
      </c>
      <c r="AU8" s="57" t="e">
        <f>AT8/E8</f>
        <v>#REF!</v>
      </c>
      <c r="AV8" s="57" t="e">
        <f>AT8-AA8-(P8*9.65%)</f>
        <v>#REF!</v>
      </c>
      <c r="AW8" s="57" t="e">
        <f>AV8/E8</f>
        <v>#REF!</v>
      </c>
    </row>
    <row r="9" spans="1:49" x14ac:dyDescent="0.3">
      <c r="A9" s="130">
        <v>2</v>
      </c>
      <c r="B9" s="130">
        <v>1</v>
      </c>
      <c r="C9" s="130" t="s">
        <v>296</v>
      </c>
      <c r="D9" s="130" t="s">
        <v>297</v>
      </c>
      <c r="E9" s="130">
        <v>1</v>
      </c>
      <c r="F9" s="130" t="s">
        <v>298</v>
      </c>
      <c r="G9" s="130" t="s">
        <v>295</v>
      </c>
      <c r="H9" s="130">
        <v>4</v>
      </c>
      <c r="I9" s="131">
        <v>499</v>
      </c>
      <c r="J9" s="131">
        <f t="shared" ref="J9:J21" si="0">E9*I9</f>
        <v>499</v>
      </c>
      <c r="K9" s="130">
        <v>2531.1275999999998</v>
      </c>
      <c r="L9" s="130">
        <v>0</v>
      </c>
      <c r="M9" s="130">
        <v>187.67959999999999</v>
      </c>
      <c r="N9" s="130">
        <v>0</v>
      </c>
      <c r="O9" s="130">
        <v>536.00015771599999</v>
      </c>
      <c r="P9" s="130">
        <v>2718.8072000000002</v>
      </c>
      <c r="Q9" s="364">
        <v>16.2</v>
      </c>
      <c r="R9" s="364"/>
      <c r="S9" s="364">
        <v>440.45</v>
      </c>
      <c r="T9" s="364"/>
      <c r="U9" s="364">
        <v>5.2</v>
      </c>
      <c r="V9" s="364"/>
      <c r="W9" s="364">
        <v>164.28</v>
      </c>
      <c r="X9" s="364"/>
      <c r="Y9" s="364">
        <v>2.1</v>
      </c>
      <c r="Z9" s="364"/>
      <c r="AA9" s="364">
        <v>57.09</v>
      </c>
      <c r="AB9" s="364"/>
      <c r="AC9" s="364">
        <v>9.65</v>
      </c>
      <c r="AD9" s="364"/>
      <c r="AE9" s="364">
        <v>262.36</v>
      </c>
      <c r="AF9" s="364"/>
      <c r="AG9" s="130">
        <v>4393.22</v>
      </c>
      <c r="AH9" s="130">
        <v>17</v>
      </c>
      <c r="AI9" s="365">
        <v>746.85</v>
      </c>
      <c r="AJ9" s="366"/>
      <c r="AK9" s="130">
        <v>3.4037000000000002</v>
      </c>
      <c r="AL9" s="130">
        <v>0</v>
      </c>
      <c r="AM9" s="130">
        <v>3.3786</v>
      </c>
      <c r="AN9" s="136">
        <f t="shared" ref="AN9:AN72" si="1">P9/$P$114</f>
        <v>8.4244963805524403E-3</v>
      </c>
      <c r="AO9" s="57" t="e">
        <f>((#REF!+#REF!+#REF!+#REF!+#REF!+#REF!+#REF!)*'assessoria- realizado por item'!AN9)-M9-N9</f>
        <v>#REF!</v>
      </c>
      <c r="AP9" s="57" t="e">
        <f>(#REF!*'assessoria- realizado por item'!AN9)-K9</f>
        <v>#REF!</v>
      </c>
      <c r="AQ9" s="57" t="e">
        <f>(#REF!+#REF!+#REF!+#REF!+#REF!+#REF!+#REF!+#REF!+#REF!+#REF!+#REF!+#REF!+#REF!+#REF!+#REF!+#REF!+#REF!+#REF!+#REF!+#REF!)*AN9</f>
        <v>#REF!</v>
      </c>
      <c r="AR9" s="57" t="e">
        <f t="shared" ref="AR9:AR20" si="2">P9+S9+W9+AA9+AE9+AI9+AK9+AL9+AM9+AO9+AP9+AQ9</f>
        <v>#REF!</v>
      </c>
      <c r="AS9" s="57" t="e">
        <f t="shared" ref="AS9:AS20" si="3">AR9/E9</f>
        <v>#REF!</v>
      </c>
      <c r="AT9" s="57" t="e">
        <f t="shared" ref="AT9:AT20" si="4">AR9-W9-AI9</f>
        <v>#REF!</v>
      </c>
      <c r="AU9" s="57" t="e">
        <f t="shared" ref="AU9:AU20" si="5">AT9/E9</f>
        <v>#REF!</v>
      </c>
      <c r="AV9" s="57" t="e">
        <f t="shared" ref="AV9:AV20" si="6">AT9-AA9-(P9*9.65%)</f>
        <v>#REF!</v>
      </c>
      <c r="AW9" s="57" t="e">
        <f t="shared" ref="AW9:AW20" si="7">AV9/E9</f>
        <v>#REF!</v>
      </c>
    </row>
    <row r="10" spans="1:49" x14ac:dyDescent="0.3">
      <c r="A10" s="130">
        <v>3</v>
      </c>
      <c r="B10" s="130">
        <v>1</v>
      </c>
      <c r="C10" s="130" t="s">
        <v>299</v>
      </c>
      <c r="D10" s="130" t="s">
        <v>300</v>
      </c>
      <c r="E10" s="130">
        <v>1</v>
      </c>
      <c r="F10" s="130" t="s">
        <v>301</v>
      </c>
      <c r="G10" s="130" t="s">
        <v>295</v>
      </c>
      <c r="H10" s="130">
        <v>144</v>
      </c>
      <c r="I10" s="131">
        <v>9999</v>
      </c>
      <c r="J10" s="131">
        <f t="shared" si="0"/>
        <v>9999</v>
      </c>
      <c r="K10" s="130">
        <v>50718.927600000003</v>
      </c>
      <c r="L10" s="130">
        <v>0</v>
      </c>
      <c r="M10" s="130">
        <v>6756.4647999999997</v>
      </c>
      <c r="N10" s="130">
        <v>0</v>
      </c>
      <c r="O10" s="130">
        <v>11331.005520069</v>
      </c>
      <c r="P10" s="130">
        <v>57475.392399999997</v>
      </c>
      <c r="Q10" s="364">
        <v>0</v>
      </c>
      <c r="R10" s="364"/>
      <c r="S10" s="364">
        <v>0</v>
      </c>
      <c r="T10" s="364"/>
      <c r="U10" s="364">
        <v>0</v>
      </c>
      <c r="V10" s="364"/>
      <c r="W10" s="364">
        <v>0</v>
      </c>
      <c r="X10" s="364"/>
      <c r="Y10" s="364">
        <v>2.1</v>
      </c>
      <c r="Z10" s="364"/>
      <c r="AA10" s="364">
        <v>1206.98</v>
      </c>
      <c r="AB10" s="364"/>
      <c r="AC10" s="364">
        <v>10.65</v>
      </c>
      <c r="AD10" s="364"/>
      <c r="AE10" s="364">
        <v>6121.13</v>
      </c>
      <c r="AF10" s="364"/>
      <c r="AG10" s="130">
        <v>0</v>
      </c>
      <c r="AH10" s="130">
        <v>0</v>
      </c>
      <c r="AI10" s="365">
        <v>0</v>
      </c>
      <c r="AJ10" s="366"/>
      <c r="AK10" s="130">
        <v>68.2042</v>
      </c>
      <c r="AL10" s="130">
        <v>0</v>
      </c>
      <c r="AM10" s="130">
        <v>71.422499999999999</v>
      </c>
      <c r="AN10" s="136">
        <f t="shared" si="1"/>
        <v>0.17809325914858221</v>
      </c>
      <c r="AO10" s="57" t="e">
        <f>((#REF!+#REF!+#REF!+#REF!+#REF!+#REF!+#REF!)*'assessoria- realizado por item'!AN10)-M10-N10</f>
        <v>#REF!</v>
      </c>
      <c r="AP10" s="57" t="e">
        <f>(#REF!*'assessoria- realizado por item'!AN10)-K10</f>
        <v>#REF!</v>
      </c>
      <c r="AQ10" s="57" t="e">
        <f>(#REF!+#REF!+#REF!+#REF!+#REF!+#REF!+#REF!+#REF!+#REF!+#REF!+#REF!+#REF!+#REF!+#REF!+#REF!+#REF!+#REF!+#REF!+#REF!+#REF!)*AN10</f>
        <v>#REF!</v>
      </c>
      <c r="AR10" s="57" t="e">
        <f t="shared" si="2"/>
        <v>#REF!</v>
      </c>
      <c r="AS10" s="57" t="e">
        <f t="shared" si="3"/>
        <v>#REF!</v>
      </c>
      <c r="AT10" s="57" t="e">
        <f t="shared" si="4"/>
        <v>#REF!</v>
      </c>
      <c r="AU10" s="57" t="e">
        <f t="shared" si="5"/>
        <v>#REF!</v>
      </c>
      <c r="AV10" s="57" t="e">
        <f t="shared" si="6"/>
        <v>#REF!</v>
      </c>
      <c r="AW10" s="57" t="e">
        <f t="shared" si="7"/>
        <v>#REF!</v>
      </c>
    </row>
    <row r="11" spans="1:49" x14ac:dyDescent="0.3">
      <c r="A11" s="130">
        <v>4</v>
      </c>
      <c r="B11" s="130">
        <v>1</v>
      </c>
      <c r="C11" s="130" t="s">
        <v>302</v>
      </c>
      <c r="D11" s="130" t="s">
        <v>303</v>
      </c>
      <c r="E11" s="130">
        <v>1</v>
      </c>
      <c r="F11" s="130" t="s">
        <v>301</v>
      </c>
      <c r="G11" s="130" t="s">
        <v>295</v>
      </c>
      <c r="H11" s="130">
        <v>138</v>
      </c>
      <c r="I11" s="131">
        <v>19852</v>
      </c>
      <c r="J11" s="131">
        <f t="shared" si="0"/>
        <v>19852</v>
      </c>
      <c r="K11" s="130">
        <v>100697.28479999999</v>
      </c>
      <c r="L11" s="130">
        <v>0</v>
      </c>
      <c r="M11" s="130">
        <v>6474.9453999999996</v>
      </c>
      <c r="N11" s="130">
        <v>0</v>
      </c>
      <c r="O11" s="130">
        <v>21128.505283495</v>
      </c>
      <c r="P11" s="130">
        <v>107172.23020000001</v>
      </c>
      <c r="Q11" s="364">
        <v>0</v>
      </c>
      <c r="R11" s="364"/>
      <c r="S11" s="364">
        <v>0</v>
      </c>
      <c r="T11" s="364"/>
      <c r="U11" s="364">
        <v>0</v>
      </c>
      <c r="V11" s="364"/>
      <c r="W11" s="364">
        <v>0</v>
      </c>
      <c r="X11" s="364"/>
      <c r="Y11" s="364">
        <v>2.1</v>
      </c>
      <c r="Z11" s="364"/>
      <c r="AA11" s="364">
        <v>2250.62</v>
      </c>
      <c r="AB11" s="364"/>
      <c r="AC11" s="364">
        <v>10.65</v>
      </c>
      <c r="AD11" s="364"/>
      <c r="AE11" s="364">
        <v>11413.84</v>
      </c>
      <c r="AF11" s="364"/>
      <c r="AG11" s="130">
        <v>0</v>
      </c>
      <c r="AH11" s="130">
        <v>0</v>
      </c>
      <c r="AI11" s="365">
        <v>0</v>
      </c>
      <c r="AJ11" s="366"/>
      <c r="AK11" s="130">
        <v>135.4126</v>
      </c>
      <c r="AL11" s="130">
        <v>0</v>
      </c>
      <c r="AM11" s="130">
        <v>133.1789</v>
      </c>
      <c r="AN11" s="136">
        <f t="shared" si="1"/>
        <v>0.33208388789599824</v>
      </c>
      <c r="AO11" s="57" t="e">
        <f>((#REF!+#REF!+#REF!+#REF!+#REF!+#REF!+#REF!)*'assessoria- realizado por item'!AN11)-M11-N11</f>
        <v>#REF!</v>
      </c>
      <c r="AP11" s="57" t="e">
        <f>(#REF!*'assessoria- realizado por item'!AN11)-K11</f>
        <v>#REF!</v>
      </c>
      <c r="AQ11" s="57" t="e">
        <f>(#REF!+#REF!+#REF!+#REF!+#REF!+#REF!+#REF!+#REF!+#REF!+#REF!+#REF!+#REF!+#REF!+#REF!+#REF!+#REF!+#REF!+#REF!+#REF!+#REF!)*AN11</f>
        <v>#REF!</v>
      </c>
      <c r="AR11" s="57" t="e">
        <f t="shared" si="2"/>
        <v>#REF!</v>
      </c>
      <c r="AS11" s="57" t="e">
        <f t="shared" si="3"/>
        <v>#REF!</v>
      </c>
      <c r="AT11" s="57" t="e">
        <f t="shared" si="4"/>
        <v>#REF!</v>
      </c>
      <c r="AU11" s="57" t="e">
        <f t="shared" si="5"/>
        <v>#REF!</v>
      </c>
      <c r="AV11" s="57" t="e">
        <f t="shared" si="6"/>
        <v>#REF!</v>
      </c>
      <c r="AW11" s="57" t="e">
        <f t="shared" si="7"/>
        <v>#REF!</v>
      </c>
    </row>
    <row r="12" spans="1:49" x14ac:dyDescent="0.3">
      <c r="A12" s="130">
        <v>5</v>
      </c>
      <c r="B12" s="130">
        <v>1</v>
      </c>
      <c r="C12" s="130" t="s">
        <v>304</v>
      </c>
      <c r="D12" s="130" t="s">
        <v>305</v>
      </c>
      <c r="E12" s="130">
        <v>2</v>
      </c>
      <c r="F12" s="130" t="s">
        <v>306</v>
      </c>
      <c r="G12" s="130" t="s">
        <v>295</v>
      </c>
      <c r="H12" s="130">
        <v>32.9</v>
      </c>
      <c r="I12" s="131">
        <v>3999</v>
      </c>
      <c r="J12" s="131">
        <f t="shared" si="0"/>
        <v>7998</v>
      </c>
      <c r="K12" s="130">
        <v>40569.055200000003</v>
      </c>
      <c r="L12" s="130">
        <v>0</v>
      </c>
      <c r="M12" s="130">
        <v>1543.6645000000001</v>
      </c>
      <c r="N12" s="130">
        <v>0</v>
      </c>
      <c r="O12" s="130">
        <v>8302.3262558160004</v>
      </c>
      <c r="P12" s="130">
        <v>42112.719700000001</v>
      </c>
      <c r="Q12" s="364">
        <v>11.2</v>
      </c>
      <c r="R12" s="364"/>
      <c r="S12" s="364">
        <v>4716.62</v>
      </c>
      <c r="T12" s="364"/>
      <c r="U12" s="364">
        <v>3.25</v>
      </c>
      <c r="V12" s="364"/>
      <c r="W12" s="364">
        <v>1521.95</v>
      </c>
      <c r="X12" s="364"/>
      <c r="Y12" s="364">
        <v>2.1</v>
      </c>
      <c r="Z12" s="364"/>
      <c r="AA12" s="364">
        <v>884.37</v>
      </c>
      <c r="AB12" s="364"/>
      <c r="AC12" s="364">
        <v>10.65</v>
      </c>
      <c r="AD12" s="364"/>
      <c r="AE12" s="364">
        <v>4485</v>
      </c>
      <c r="AF12" s="364"/>
      <c r="AG12" s="130">
        <v>64786.75</v>
      </c>
      <c r="AH12" s="130">
        <v>17</v>
      </c>
      <c r="AI12" s="365">
        <v>11013.75</v>
      </c>
      <c r="AJ12" s="366"/>
      <c r="AK12" s="130">
        <v>54.555199999999999</v>
      </c>
      <c r="AL12" s="130">
        <v>0</v>
      </c>
      <c r="AM12" s="130">
        <v>52.331899999999997</v>
      </c>
      <c r="AN12" s="136">
        <f t="shared" si="1"/>
        <v>0.13049047931308605</v>
      </c>
      <c r="AO12" s="57" t="e">
        <f>((#REF!+#REF!+#REF!+#REF!+#REF!+#REF!+#REF!)*'assessoria- realizado por item'!AN12)-M12-N12</f>
        <v>#REF!</v>
      </c>
      <c r="AP12" s="57" t="e">
        <f>(#REF!*'assessoria- realizado por item'!AN12)-K12</f>
        <v>#REF!</v>
      </c>
      <c r="AQ12" s="57" t="e">
        <f>(#REF!+#REF!+#REF!+#REF!+#REF!+#REF!+#REF!+#REF!+#REF!+#REF!+#REF!+#REF!+#REF!+#REF!+#REF!+#REF!+#REF!+#REF!+#REF!+#REF!)*AN12</f>
        <v>#REF!</v>
      </c>
      <c r="AR12" s="57" t="e">
        <f t="shared" si="2"/>
        <v>#REF!</v>
      </c>
      <c r="AS12" s="57" t="e">
        <f t="shared" si="3"/>
        <v>#REF!</v>
      </c>
      <c r="AT12" s="57" t="e">
        <f t="shared" si="4"/>
        <v>#REF!</v>
      </c>
      <c r="AU12" s="57" t="e">
        <f t="shared" si="5"/>
        <v>#REF!</v>
      </c>
      <c r="AV12" s="57" t="e">
        <f t="shared" si="6"/>
        <v>#REF!</v>
      </c>
      <c r="AW12" s="57" t="e">
        <f t="shared" si="7"/>
        <v>#REF!</v>
      </c>
    </row>
    <row r="13" spans="1:49" x14ac:dyDescent="0.3">
      <c r="A13" s="130">
        <v>5</v>
      </c>
      <c r="B13" s="130">
        <v>2</v>
      </c>
      <c r="C13" s="130" t="s">
        <v>307</v>
      </c>
      <c r="D13" s="130" t="s">
        <v>308</v>
      </c>
      <c r="E13" s="130">
        <v>1</v>
      </c>
      <c r="F13" s="130" t="s">
        <v>306</v>
      </c>
      <c r="G13" s="130" t="s">
        <v>295</v>
      </c>
      <c r="H13" s="130">
        <v>25.76</v>
      </c>
      <c r="I13" s="131">
        <v>299</v>
      </c>
      <c r="J13" s="131">
        <f t="shared" si="0"/>
        <v>299</v>
      </c>
      <c r="K13" s="130">
        <v>1516.6476</v>
      </c>
      <c r="L13" s="130">
        <v>0</v>
      </c>
      <c r="M13" s="130">
        <v>1208.6565000000001</v>
      </c>
      <c r="N13" s="130">
        <v>0</v>
      </c>
      <c r="O13" s="130">
        <v>537.28099124699997</v>
      </c>
      <c r="P13" s="130">
        <v>2725.3040999999998</v>
      </c>
      <c r="Q13" s="364">
        <v>11.2</v>
      </c>
      <c r="R13" s="364"/>
      <c r="S13" s="364">
        <v>305.23</v>
      </c>
      <c r="T13" s="364"/>
      <c r="U13" s="364">
        <v>3.25</v>
      </c>
      <c r="V13" s="364"/>
      <c r="W13" s="364">
        <v>98.49</v>
      </c>
      <c r="X13" s="364"/>
      <c r="Y13" s="364">
        <v>2.1</v>
      </c>
      <c r="Z13" s="364"/>
      <c r="AA13" s="364">
        <v>57.23</v>
      </c>
      <c r="AB13" s="364"/>
      <c r="AC13" s="364">
        <v>10.65</v>
      </c>
      <c r="AD13" s="364"/>
      <c r="AE13" s="364">
        <v>290.24</v>
      </c>
      <c r="AF13" s="364"/>
      <c r="AG13" s="130">
        <v>4192.6400000000003</v>
      </c>
      <c r="AH13" s="130">
        <v>17</v>
      </c>
      <c r="AI13" s="365">
        <v>712.75</v>
      </c>
      <c r="AJ13" s="366"/>
      <c r="AK13" s="130">
        <v>2.0394999999999999</v>
      </c>
      <c r="AL13" s="130">
        <v>0</v>
      </c>
      <c r="AM13" s="130">
        <v>3.3866000000000001</v>
      </c>
      <c r="AN13" s="136">
        <f t="shared" si="1"/>
        <v>8.4446276758259001E-3</v>
      </c>
      <c r="AO13" s="57" t="e">
        <f>((#REF!+#REF!+#REF!+#REF!+#REF!+#REF!+#REF!)*'assessoria- realizado por item'!AN13)-M13-N13</f>
        <v>#REF!</v>
      </c>
      <c r="AP13" s="57" t="e">
        <f>(#REF!*'assessoria- realizado por item'!AN13)-K13</f>
        <v>#REF!</v>
      </c>
      <c r="AQ13" s="57" t="e">
        <f>(#REF!+#REF!+#REF!+#REF!+#REF!+#REF!+#REF!+#REF!+#REF!+#REF!+#REF!+#REF!+#REF!+#REF!+#REF!+#REF!+#REF!+#REF!+#REF!+#REF!)*AN13</f>
        <v>#REF!</v>
      </c>
      <c r="AR13" s="57" t="e">
        <f t="shared" si="2"/>
        <v>#REF!</v>
      </c>
      <c r="AS13" s="57" t="e">
        <f t="shared" si="3"/>
        <v>#REF!</v>
      </c>
      <c r="AT13" s="57" t="e">
        <f t="shared" si="4"/>
        <v>#REF!</v>
      </c>
      <c r="AU13" s="57" t="e">
        <f t="shared" si="5"/>
        <v>#REF!</v>
      </c>
      <c r="AV13" s="57" t="e">
        <f t="shared" si="6"/>
        <v>#REF!</v>
      </c>
      <c r="AW13" s="57" t="e">
        <f t="shared" si="7"/>
        <v>#REF!</v>
      </c>
    </row>
    <row r="14" spans="1:49" x14ac:dyDescent="0.3">
      <c r="A14" s="130">
        <v>6</v>
      </c>
      <c r="B14" s="130">
        <v>1</v>
      </c>
      <c r="C14" s="130" t="s">
        <v>309</v>
      </c>
      <c r="D14" s="130" t="s">
        <v>310</v>
      </c>
      <c r="E14" s="130">
        <v>1</v>
      </c>
      <c r="F14" s="130" t="s">
        <v>311</v>
      </c>
      <c r="G14" s="130" t="s">
        <v>295</v>
      </c>
      <c r="H14" s="130">
        <v>59</v>
      </c>
      <c r="I14" s="131">
        <v>7999</v>
      </c>
      <c r="J14" s="131">
        <f t="shared" si="0"/>
        <v>7999</v>
      </c>
      <c r="K14" s="130">
        <v>40574.1276</v>
      </c>
      <c r="L14" s="130">
        <v>0</v>
      </c>
      <c r="M14" s="130">
        <v>2768.2737999999999</v>
      </c>
      <c r="N14" s="130">
        <v>0</v>
      </c>
      <c r="O14" s="130">
        <v>8544.7522671709994</v>
      </c>
      <c r="P14" s="130">
        <v>43342.401400000002</v>
      </c>
      <c r="Q14" s="364">
        <v>0</v>
      </c>
      <c r="R14" s="364"/>
      <c r="S14" s="364">
        <v>0</v>
      </c>
      <c r="T14" s="364"/>
      <c r="U14" s="364">
        <v>0</v>
      </c>
      <c r="V14" s="364"/>
      <c r="W14" s="364">
        <v>0</v>
      </c>
      <c r="X14" s="364"/>
      <c r="Y14" s="364">
        <v>2.1</v>
      </c>
      <c r="Z14" s="364"/>
      <c r="AA14" s="364">
        <v>910.19</v>
      </c>
      <c r="AB14" s="364"/>
      <c r="AC14" s="364">
        <v>9.65</v>
      </c>
      <c r="AD14" s="364"/>
      <c r="AE14" s="364">
        <v>4182.54</v>
      </c>
      <c r="AF14" s="364"/>
      <c r="AG14" s="130">
        <v>0</v>
      </c>
      <c r="AH14" s="130">
        <v>0</v>
      </c>
      <c r="AI14" s="365">
        <v>0</v>
      </c>
      <c r="AJ14" s="366"/>
      <c r="AK14" s="130">
        <v>54.561999999999998</v>
      </c>
      <c r="AL14" s="130">
        <v>0</v>
      </c>
      <c r="AM14" s="130">
        <v>53.86</v>
      </c>
      <c r="AN14" s="136">
        <f t="shared" si="1"/>
        <v>0.13430077120538411</v>
      </c>
      <c r="AO14" s="57" t="e">
        <f>((#REF!+#REF!+#REF!+#REF!+#REF!+#REF!+#REF!)*'assessoria- realizado por item'!AN14)-M14-N14</f>
        <v>#REF!</v>
      </c>
      <c r="AP14" s="57" t="e">
        <f>(#REF!*'assessoria- realizado por item'!AN14)-K14</f>
        <v>#REF!</v>
      </c>
      <c r="AQ14" s="57" t="e">
        <f>(#REF!+#REF!+#REF!+#REF!+#REF!+#REF!+#REF!+#REF!+#REF!+#REF!+#REF!+#REF!+#REF!+#REF!+#REF!+#REF!+#REF!+#REF!+#REF!+#REF!)*AN14</f>
        <v>#REF!</v>
      </c>
      <c r="AR14" s="57" t="e">
        <f t="shared" si="2"/>
        <v>#REF!</v>
      </c>
      <c r="AS14" s="57" t="e">
        <f t="shared" si="3"/>
        <v>#REF!</v>
      </c>
      <c r="AT14" s="57" t="e">
        <f t="shared" si="4"/>
        <v>#REF!</v>
      </c>
      <c r="AU14" s="57" t="e">
        <f t="shared" si="5"/>
        <v>#REF!</v>
      </c>
      <c r="AV14" s="57" t="e">
        <f t="shared" si="6"/>
        <v>#REF!</v>
      </c>
      <c r="AW14" s="57" t="e">
        <f t="shared" si="7"/>
        <v>#REF!</v>
      </c>
    </row>
    <row r="15" spans="1:49" x14ac:dyDescent="0.3">
      <c r="A15" s="130">
        <v>7</v>
      </c>
      <c r="B15" s="130">
        <v>1</v>
      </c>
      <c r="C15" s="130" t="s">
        <v>312</v>
      </c>
      <c r="D15" s="130" t="s">
        <v>313</v>
      </c>
      <c r="E15" s="130">
        <v>1</v>
      </c>
      <c r="F15" s="130" t="s">
        <v>314</v>
      </c>
      <c r="G15" s="130" t="s">
        <v>295</v>
      </c>
      <c r="H15" s="130">
        <v>2.5</v>
      </c>
      <c r="I15" s="131">
        <v>63</v>
      </c>
      <c r="J15" s="131">
        <f t="shared" si="0"/>
        <v>63</v>
      </c>
      <c r="K15" s="130">
        <v>319.56119999999999</v>
      </c>
      <c r="L15" s="130">
        <v>0</v>
      </c>
      <c r="M15" s="130">
        <v>117.2997</v>
      </c>
      <c r="N15" s="130">
        <v>0</v>
      </c>
      <c r="O15" s="130">
        <v>86.125088715000004</v>
      </c>
      <c r="P15" s="130">
        <v>436.86090000000002</v>
      </c>
      <c r="Q15" s="364">
        <v>11.2</v>
      </c>
      <c r="R15" s="364"/>
      <c r="S15" s="364">
        <v>48.93</v>
      </c>
      <c r="T15" s="364"/>
      <c r="U15" s="364">
        <v>0</v>
      </c>
      <c r="V15" s="364"/>
      <c r="W15" s="364">
        <v>0</v>
      </c>
      <c r="X15" s="364"/>
      <c r="Y15" s="364">
        <v>2.1</v>
      </c>
      <c r="Z15" s="364"/>
      <c r="AA15" s="364">
        <v>9.17</v>
      </c>
      <c r="AB15" s="364"/>
      <c r="AC15" s="364">
        <v>9.65</v>
      </c>
      <c r="AD15" s="364"/>
      <c r="AE15" s="364">
        <v>42.16</v>
      </c>
      <c r="AF15" s="364"/>
      <c r="AG15" s="130">
        <v>647.79</v>
      </c>
      <c r="AH15" s="130">
        <v>17</v>
      </c>
      <c r="AI15" s="365">
        <v>110.12</v>
      </c>
      <c r="AJ15" s="366"/>
      <c r="AK15" s="130">
        <v>0.42970000000000003</v>
      </c>
      <c r="AL15" s="130">
        <v>0</v>
      </c>
      <c r="AM15" s="130">
        <v>0.54290000000000005</v>
      </c>
      <c r="AN15" s="136">
        <f t="shared" si="1"/>
        <v>1.3536572475072457E-3</v>
      </c>
      <c r="AO15" s="57" t="e">
        <f>((#REF!+#REF!+#REF!+#REF!+#REF!+#REF!+#REF!)*'assessoria- realizado por item'!AN15)-M15-N15</f>
        <v>#REF!</v>
      </c>
      <c r="AP15" s="57" t="e">
        <f>(#REF!*'assessoria- realizado por item'!AN15)-K15</f>
        <v>#REF!</v>
      </c>
      <c r="AQ15" s="57" t="e">
        <f>(#REF!+#REF!+#REF!+#REF!+#REF!+#REF!+#REF!+#REF!+#REF!+#REF!+#REF!+#REF!+#REF!+#REF!+#REF!+#REF!+#REF!+#REF!+#REF!+#REF!)*AN15</f>
        <v>#REF!</v>
      </c>
      <c r="AR15" s="57" t="e">
        <f t="shared" si="2"/>
        <v>#REF!</v>
      </c>
      <c r="AS15" s="57" t="e">
        <f t="shared" si="3"/>
        <v>#REF!</v>
      </c>
      <c r="AT15" s="57" t="e">
        <f t="shared" si="4"/>
        <v>#REF!</v>
      </c>
      <c r="AU15" s="57" t="e">
        <f t="shared" si="5"/>
        <v>#REF!</v>
      </c>
      <c r="AV15" s="57" t="e">
        <f t="shared" si="6"/>
        <v>#REF!</v>
      </c>
      <c r="AW15" s="57" t="e">
        <f t="shared" si="7"/>
        <v>#REF!</v>
      </c>
    </row>
    <row r="16" spans="1:49" x14ac:dyDescent="0.3">
      <c r="A16" s="130">
        <v>7</v>
      </c>
      <c r="B16" s="130">
        <v>2</v>
      </c>
      <c r="C16" s="130" t="s">
        <v>315</v>
      </c>
      <c r="D16" s="130" t="s">
        <v>316</v>
      </c>
      <c r="E16" s="130">
        <v>1</v>
      </c>
      <c r="F16" s="130" t="s">
        <v>314</v>
      </c>
      <c r="G16" s="130" t="s">
        <v>295</v>
      </c>
      <c r="H16" s="130">
        <v>51</v>
      </c>
      <c r="I16" s="131">
        <v>3289</v>
      </c>
      <c r="J16" s="131">
        <f t="shared" si="0"/>
        <v>3289</v>
      </c>
      <c r="K16" s="130">
        <v>16683.123599999999</v>
      </c>
      <c r="L16" s="130">
        <v>0</v>
      </c>
      <c r="M16" s="130">
        <v>2392.9146000000001</v>
      </c>
      <c r="N16" s="130">
        <v>0</v>
      </c>
      <c r="O16" s="130">
        <v>3760.7519517390001</v>
      </c>
      <c r="P16" s="130">
        <v>19076.038199999999</v>
      </c>
      <c r="Q16" s="364">
        <v>11.2</v>
      </c>
      <c r="R16" s="364"/>
      <c r="S16" s="364">
        <v>2136.52</v>
      </c>
      <c r="T16" s="364"/>
      <c r="U16" s="364">
        <v>0</v>
      </c>
      <c r="V16" s="364"/>
      <c r="W16" s="364">
        <v>0</v>
      </c>
      <c r="X16" s="364"/>
      <c r="Y16" s="364">
        <v>2.1</v>
      </c>
      <c r="Z16" s="364"/>
      <c r="AA16" s="364">
        <v>400.6</v>
      </c>
      <c r="AB16" s="364"/>
      <c r="AC16" s="364">
        <v>9.65</v>
      </c>
      <c r="AD16" s="364"/>
      <c r="AE16" s="364">
        <v>1840.84</v>
      </c>
      <c r="AF16" s="364"/>
      <c r="AG16" s="130">
        <v>28286.38</v>
      </c>
      <c r="AH16" s="130">
        <v>17</v>
      </c>
      <c r="AI16" s="365">
        <v>4808.68</v>
      </c>
      <c r="AJ16" s="366"/>
      <c r="AK16" s="130">
        <v>22.4346</v>
      </c>
      <c r="AL16" s="130">
        <v>0</v>
      </c>
      <c r="AM16" s="130">
        <v>23.705100000000002</v>
      </c>
      <c r="AN16" s="136">
        <f t="shared" si="1"/>
        <v>5.9109014707324617E-2</v>
      </c>
      <c r="AO16" s="57" t="e">
        <f>((#REF!+#REF!+#REF!+#REF!+#REF!+#REF!+#REF!)*'assessoria- realizado por item'!AN16)-M16-N16</f>
        <v>#REF!</v>
      </c>
      <c r="AP16" s="57" t="e">
        <f>(#REF!*'assessoria- realizado por item'!AN16)-K16</f>
        <v>#REF!</v>
      </c>
      <c r="AQ16" s="57" t="e">
        <f>(#REF!+#REF!+#REF!+#REF!+#REF!+#REF!+#REF!+#REF!+#REF!+#REF!+#REF!+#REF!+#REF!+#REF!+#REF!+#REF!+#REF!+#REF!+#REF!+#REF!)*AN16</f>
        <v>#REF!</v>
      </c>
      <c r="AR16" s="57" t="e">
        <f t="shared" si="2"/>
        <v>#REF!</v>
      </c>
      <c r="AS16" s="57" t="e">
        <f t="shared" si="3"/>
        <v>#REF!</v>
      </c>
      <c r="AT16" s="57" t="e">
        <f t="shared" si="4"/>
        <v>#REF!</v>
      </c>
      <c r="AU16" s="57" t="e">
        <f t="shared" si="5"/>
        <v>#REF!</v>
      </c>
      <c r="AV16" s="57" t="e">
        <f t="shared" si="6"/>
        <v>#REF!</v>
      </c>
      <c r="AW16" s="57" t="e">
        <f t="shared" si="7"/>
        <v>#REF!</v>
      </c>
    </row>
    <row r="17" spans="1:49" x14ac:dyDescent="0.3">
      <c r="A17" s="130">
        <v>7</v>
      </c>
      <c r="B17" s="130">
        <v>3</v>
      </c>
      <c r="C17" s="130" t="s">
        <v>317</v>
      </c>
      <c r="D17" s="130" t="s">
        <v>318</v>
      </c>
      <c r="E17" s="130">
        <v>1</v>
      </c>
      <c r="F17" s="130" t="s">
        <v>314</v>
      </c>
      <c r="G17" s="130" t="s">
        <v>295</v>
      </c>
      <c r="H17" s="130">
        <v>24</v>
      </c>
      <c r="I17" s="131">
        <v>4500</v>
      </c>
      <c r="J17" s="131">
        <f t="shared" si="0"/>
        <v>4500</v>
      </c>
      <c r="K17" s="130">
        <v>22825.8</v>
      </c>
      <c r="L17" s="130">
        <v>0</v>
      </c>
      <c r="M17" s="130">
        <v>1126.0775000000001</v>
      </c>
      <c r="N17" s="130">
        <v>0</v>
      </c>
      <c r="O17" s="130">
        <v>4722.0009265830004</v>
      </c>
      <c r="P17" s="130">
        <v>23951.877499999999</v>
      </c>
      <c r="Q17" s="364">
        <v>11.2</v>
      </c>
      <c r="R17" s="364"/>
      <c r="S17" s="364">
        <v>2682.61</v>
      </c>
      <c r="T17" s="364"/>
      <c r="U17" s="364">
        <v>0</v>
      </c>
      <c r="V17" s="364"/>
      <c r="W17" s="364">
        <v>0</v>
      </c>
      <c r="X17" s="364"/>
      <c r="Y17" s="364">
        <v>2.1</v>
      </c>
      <c r="Z17" s="364"/>
      <c r="AA17" s="364">
        <v>502.99</v>
      </c>
      <c r="AB17" s="364"/>
      <c r="AC17" s="364">
        <v>9.65</v>
      </c>
      <c r="AD17" s="364"/>
      <c r="AE17" s="364">
        <v>2311.36</v>
      </c>
      <c r="AF17" s="364"/>
      <c r="AG17" s="130">
        <v>35516.379999999997</v>
      </c>
      <c r="AH17" s="130">
        <v>17</v>
      </c>
      <c r="AI17" s="365">
        <v>6037.79</v>
      </c>
      <c r="AJ17" s="366"/>
      <c r="AK17" s="130">
        <v>30.695</v>
      </c>
      <c r="AL17" s="130">
        <v>0</v>
      </c>
      <c r="AM17" s="130">
        <v>29.764099999999999</v>
      </c>
      <c r="AN17" s="136">
        <f t="shared" si="1"/>
        <v>7.4217291062854851E-2</v>
      </c>
      <c r="AO17" s="57" t="e">
        <f>((#REF!+#REF!+#REF!+#REF!+#REF!+#REF!+#REF!)*'assessoria- realizado por item'!AN17)-M17-N17</f>
        <v>#REF!</v>
      </c>
      <c r="AP17" s="57" t="e">
        <f>(#REF!*'assessoria- realizado por item'!AN17)-K17</f>
        <v>#REF!</v>
      </c>
      <c r="AQ17" s="57" t="e">
        <f>(#REF!+#REF!+#REF!+#REF!+#REF!+#REF!+#REF!+#REF!+#REF!+#REF!+#REF!+#REF!+#REF!+#REF!+#REF!+#REF!+#REF!+#REF!+#REF!+#REF!)*AN17</f>
        <v>#REF!</v>
      </c>
      <c r="AR17" s="57" t="e">
        <f t="shared" si="2"/>
        <v>#REF!</v>
      </c>
      <c r="AS17" s="57" t="e">
        <f t="shared" si="3"/>
        <v>#REF!</v>
      </c>
      <c r="AT17" s="57" t="e">
        <f t="shared" si="4"/>
        <v>#REF!</v>
      </c>
      <c r="AU17" s="57" t="e">
        <f t="shared" si="5"/>
        <v>#REF!</v>
      </c>
      <c r="AV17" s="57" t="e">
        <f t="shared" si="6"/>
        <v>#REF!</v>
      </c>
      <c r="AW17" s="57" t="e">
        <f t="shared" si="7"/>
        <v>#REF!</v>
      </c>
    </row>
    <row r="18" spans="1:49" x14ac:dyDescent="0.3">
      <c r="A18" s="130">
        <v>8</v>
      </c>
      <c r="B18" s="130">
        <v>1</v>
      </c>
      <c r="C18" s="130" t="s">
        <v>319</v>
      </c>
      <c r="D18" s="130" t="s">
        <v>320</v>
      </c>
      <c r="E18" s="130">
        <v>1</v>
      </c>
      <c r="F18" s="130" t="s">
        <v>321</v>
      </c>
      <c r="G18" s="130" t="s">
        <v>295</v>
      </c>
      <c r="H18" s="130">
        <v>2</v>
      </c>
      <c r="I18" s="131">
        <v>349</v>
      </c>
      <c r="J18" s="131">
        <f t="shared" si="0"/>
        <v>349</v>
      </c>
      <c r="K18" s="130">
        <v>1770.2675999999999</v>
      </c>
      <c r="L18" s="130">
        <v>0</v>
      </c>
      <c r="M18" s="130">
        <v>93.839799999999997</v>
      </c>
      <c r="N18" s="130">
        <v>0</v>
      </c>
      <c r="O18" s="130">
        <v>367.50007885799999</v>
      </c>
      <c r="P18" s="130">
        <v>1864.1074000000001</v>
      </c>
      <c r="Q18" s="364">
        <v>11.2</v>
      </c>
      <c r="R18" s="364"/>
      <c r="S18" s="364">
        <v>208.78</v>
      </c>
      <c r="T18" s="364"/>
      <c r="U18" s="364">
        <v>3.25</v>
      </c>
      <c r="V18" s="364"/>
      <c r="W18" s="364">
        <v>67.37</v>
      </c>
      <c r="X18" s="364"/>
      <c r="Y18" s="364">
        <v>2.1</v>
      </c>
      <c r="Z18" s="364"/>
      <c r="AA18" s="364">
        <v>39.15</v>
      </c>
      <c r="AB18" s="364"/>
      <c r="AC18" s="364">
        <v>9.65</v>
      </c>
      <c r="AD18" s="364"/>
      <c r="AE18" s="364">
        <v>179.89</v>
      </c>
      <c r="AF18" s="364"/>
      <c r="AG18" s="130">
        <v>2845.31</v>
      </c>
      <c r="AH18" s="130">
        <v>17</v>
      </c>
      <c r="AI18" s="365">
        <v>483.7</v>
      </c>
      <c r="AJ18" s="366"/>
      <c r="AK18" s="130">
        <v>2.3805999999999998</v>
      </c>
      <c r="AL18" s="130">
        <v>0</v>
      </c>
      <c r="AM18" s="130">
        <v>2.3165</v>
      </c>
      <c r="AN18" s="136">
        <f t="shared" si="1"/>
        <v>5.7761234574709892E-3</v>
      </c>
      <c r="AO18" s="57" t="e">
        <f>((#REF!+#REF!+#REF!+#REF!+#REF!+#REF!+#REF!)*'assessoria- realizado por item'!AN18)-M18-N18</f>
        <v>#REF!</v>
      </c>
      <c r="AP18" s="57" t="e">
        <f>(#REF!*'assessoria- realizado por item'!AN18)-K18</f>
        <v>#REF!</v>
      </c>
      <c r="AQ18" s="57" t="e">
        <f>(#REF!+#REF!+#REF!+#REF!+#REF!+#REF!+#REF!+#REF!+#REF!+#REF!+#REF!+#REF!+#REF!+#REF!+#REF!+#REF!+#REF!+#REF!+#REF!+#REF!)*AN18</f>
        <v>#REF!</v>
      </c>
      <c r="AR18" s="57" t="e">
        <f t="shared" si="2"/>
        <v>#REF!</v>
      </c>
      <c r="AS18" s="57" t="e">
        <f t="shared" si="3"/>
        <v>#REF!</v>
      </c>
      <c r="AT18" s="57" t="e">
        <f t="shared" si="4"/>
        <v>#REF!</v>
      </c>
      <c r="AU18" s="57" t="e">
        <f t="shared" si="5"/>
        <v>#REF!</v>
      </c>
      <c r="AV18" s="57" t="e">
        <f t="shared" si="6"/>
        <v>#REF!</v>
      </c>
      <c r="AW18" s="57" t="e">
        <f t="shared" si="7"/>
        <v>#REF!</v>
      </c>
    </row>
    <row r="19" spans="1:49" x14ac:dyDescent="0.3">
      <c r="A19" s="130">
        <v>8</v>
      </c>
      <c r="B19" s="130">
        <v>2</v>
      </c>
      <c r="C19" s="130" t="s">
        <v>322</v>
      </c>
      <c r="D19" s="130" t="s">
        <v>323</v>
      </c>
      <c r="E19" s="130">
        <v>1</v>
      </c>
      <c r="F19" s="130" t="s">
        <v>321</v>
      </c>
      <c r="G19" s="130" t="s">
        <v>295</v>
      </c>
      <c r="H19" s="130">
        <v>3</v>
      </c>
      <c r="I19" s="131">
        <v>299</v>
      </c>
      <c r="J19" s="131">
        <f t="shared" si="0"/>
        <v>299</v>
      </c>
      <c r="K19" s="130">
        <v>1516.6476</v>
      </c>
      <c r="L19" s="130">
        <v>0</v>
      </c>
      <c r="M19" s="130">
        <v>140.75970000000001</v>
      </c>
      <c r="N19" s="130">
        <v>0</v>
      </c>
      <c r="O19" s="130">
        <v>326.75011828700002</v>
      </c>
      <c r="P19" s="130">
        <v>1657.4073000000001</v>
      </c>
      <c r="Q19" s="364">
        <v>11.2</v>
      </c>
      <c r="R19" s="364"/>
      <c r="S19" s="364">
        <v>185.63</v>
      </c>
      <c r="T19" s="364"/>
      <c r="U19" s="364">
        <v>3.25</v>
      </c>
      <c r="V19" s="364"/>
      <c r="W19" s="364">
        <v>59.9</v>
      </c>
      <c r="X19" s="364"/>
      <c r="Y19" s="364">
        <v>2.1</v>
      </c>
      <c r="Z19" s="364"/>
      <c r="AA19" s="364">
        <v>34.81</v>
      </c>
      <c r="AB19" s="364"/>
      <c r="AC19" s="364">
        <v>9.65</v>
      </c>
      <c r="AD19" s="364"/>
      <c r="AE19" s="364">
        <v>159.94</v>
      </c>
      <c r="AF19" s="364"/>
      <c r="AG19" s="130">
        <v>2529.81</v>
      </c>
      <c r="AH19" s="130">
        <v>17</v>
      </c>
      <c r="AI19" s="365">
        <v>430.07</v>
      </c>
      <c r="AJ19" s="366"/>
      <c r="AK19" s="130">
        <v>2.0394999999999999</v>
      </c>
      <c r="AL19" s="130">
        <v>0</v>
      </c>
      <c r="AM19" s="130">
        <v>2.0596000000000001</v>
      </c>
      <c r="AN19" s="136">
        <f t="shared" si="1"/>
        <v>5.1356424979127581E-3</v>
      </c>
      <c r="AO19" s="57" t="e">
        <f>((#REF!+#REF!+#REF!+#REF!+#REF!+#REF!+#REF!)*'assessoria- realizado por item'!AN19)-M19-N19</f>
        <v>#REF!</v>
      </c>
      <c r="AP19" s="57" t="e">
        <f>(#REF!*'assessoria- realizado por item'!AN19)-K19</f>
        <v>#REF!</v>
      </c>
      <c r="AQ19" s="57" t="e">
        <f>(#REF!+#REF!+#REF!+#REF!+#REF!+#REF!+#REF!+#REF!+#REF!+#REF!+#REF!+#REF!+#REF!+#REF!+#REF!+#REF!+#REF!+#REF!+#REF!+#REF!)*AN19</f>
        <v>#REF!</v>
      </c>
      <c r="AR19" s="57" t="e">
        <f t="shared" si="2"/>
        <v>#REF!</v>
      </c>
      <c r="AS19" s="57" t="e">
        <f t="shared" si="3"/>
        <v>#REF!</v>
      </c>
      <c r="AT19" s="57" t="e">
        <f t="shared" si="4"/>
        <v>#REF!</v>
      </c>
      <c r="AU19" s="57" t="e">
        <f t="shared" si="5"/>
        <v>#REF!</v>
      </c>
      <c r="AV19" s="57" t="e">
        <f t="shared" si="6"/>
        <v>#REF!</v>
      </c>
      <c r="AW19" s="57" t="e">
        <f t="shared" si="7"/>
        <v>#REF!</v>
      </c>
    </row>
    <row r="20" spans="1:49" x14ac:dyDescent="0.3">
      <c r="A20" s="130">
        <v>9</v>
      </c>
      <c r="B20" s="130">
        <v>1</v>
      </c>
      <c r="C20" s="130" t="s">
        <v>324</v>
      </c>
      <c r="D20" s="130" t="s">
        <v>325</v>
      </c>
      <c r="E20" s="130">
        <v>1</v>
      </c>
      <c r="F20" s="130" t="s">
        <v>326</v>
      </c>
      <c r="G20" s="130" t="s">
        <v>295</v>
      </c>
      <c r="H20" s="130">
        <v>21.5</v>
      </c>
      <c r="I20" s="131">
        <v>2999</v>
      </c>
      <c r="J20" s="131">
        <f t="shared" si="0"/>
        <v>2999</v>
      </c>
      <c r="K20" s="130">
        <v>15212.1276</v>
      </c>
      <c r="L20" s="130">
        <v>0</v>
      </c>
      <c r="M20" s="130">
        <v>1008.7777</v>
      </c>
      <c r="N20" s="130">
        <v>0</v>
      </c>
      <c r="O20" s="130">
        <v>3197.8758181530002</v>
      </c>
      <c r="P20" s="130">
        <v>16220.9053</v>
      </c>
      <c r="Q20" s="364">
        <v>18</v>
      </c>
      <c r="R20" s="364"/>
      <c r="S20" s="364">
        <v>2919.76</v>
      </c>
      <c r="T20" s="364"/>
      <c r="U20" s="364">
        <v>6.5</v>
      </c>
      <c r="V20" s="364"/>
      <c r="W20" s="364">
        <v>1244.1400000000001</v>
      </c>
      <c r="X20" s="364"/>
      <c r="Y20" s="364">
        <v>2.1</v>
      </c>
      <c r="Z20" s="364"/>
      <c r="AA20" s="364">
        <v>340.64</v>
      </c>
      <c r="AB20" s="364"/>
      <c r="AC20" s="364">
        <v>9.65</v>
      </c>
      <c r="AD20" s="364"/>
      <c r="AE20" s="364">
        <v>1565.32</v>
      </c>
      <c r="AF20" s="364"/>
      <c r="AG20" s="130">
        <v>26880.63</v>
      </c>
      <c r="AH20" s="130">
        <v>17</v>
      </c>
      <c r="AI20" s="365">
        <v>4569.71</v>
      </c>
      <c r="AJ20" s="366"/>
      <c r="AK20" s="130">
        <v>20.456499999999998</v>
      </c>
      <c r="AL20" s="130">
        <v>0</v>
      </c>
      <c r="AM20" s="130">
        <v>20.1571</v>
      </c>
      <c r="AN20" s="136">
        <f t="shared" si="1"/>
        <v>5.0262099493165194E-2</v>
      </c>
      <c r="AO20" s="57" t="e">
        <f>((#REF!+#REF!+#REF!+#REF!+#REF!+#REF!+#REF!)*'assessoria- realizado por item'!AN20)-M20-N20</f>
        <v>#REF!</v>
      </c>
      <c r="AP20" s="57" t="e">
        <f>(#REF!*'assessoria- realizado por item'!AN20)-K20</f>
        <v>#REF!</v>
      </c>
      <c r="AQ20" s="57" t="e">
        <f>(#REF!+#REF!+#REF!+#REF!+#REF!+#REF!+#REF!+#REF!+#REF!+#REF!+#REF!+#REF!+#REF!+#REF!+#REF!+#REF!+#REF!+#REF!+#REF!+#REF!)*AN20</f>
        <v>#REF!</v>
      </c>
      <c r="AR20" s="57" t="e">
        <f t="shared" si="2"/>
        <v>#REF!</v>
      </c>
      <c r="AS20" s="57" t="e">
        <f t="shared" si="3"/>
        <v>#REF!</v>
      </c>
      <c r="AT20" s="57" t="e">
        <f t="shared" si="4"/>
        <v>#REF!</v>
      </c>
      <c r="AU20" s="57" t="e">
        <f t="shared" si="5"/>
        <v>#REF!</v>
      </c>
      <c r="AV20" s="57" t="e">
        <f t="shared" si="6"/>
        <v>#REF!</v>
      </c>
      <c r="AW20" s="57" t="e">
        <f t="shared" si="7"/>
        <v>#REF!</v>
      </c>
    </row>
    <row r="21" spans="1:49" x14ac:dyDescent="0.3">
      <c r="A21" s="130">
        <v>10</v>
      </c>
      <c r="B21" s="130">
        <v>1</v>
      </c>
      <c r="C21" s="130" t="s">
        <v>327</v>
      </c>
      <c r="D21" s="130" t="s">
        <v>328</v>
      </c>
      <c r="E21" s="130">
        <v>1</v>
      </c>
      <c r="F21" s="130" t="s">
        <v>329</v>
      </c>
      <c r="G21" s="130" t="s">
        <v>295</v>
      </c>
      <c r="H21" s="130">
        <v>12</v>
      </c>
      <c r="I21" s="131">
        <v>500</v>
      </c>
      <c r="J21" s="131">
        <f t="shared" si="0"/>
        <v>500</v>
      </c>
      <c r="K21" s="130">
        <v>2536.1999999999998</v>
      </c>
      <c r="L21" s="130">
        <v>0</v>
      </c>
      <c r="M21" s="130">
        <v>563.03869999999995</v>
      </c>
      <c r="N21" s="130">
        <v>0</v>
      </c>
      <c r="O21" s="130">
        <v>611.00045343399995</v>
      </c>
      <c r="P21" s="130">
        <v>3099.2386999999999</v>
      </c>
      <c r="Q21" s="364">
        <v>16.2</v>
      </c>
      <c r="R21" s="364"/>
      <c r="S21" s="364">
        <v>502.08</v>
      </c>
      <c r="T21" s="364"/>
      <c r="U21" s="364">
        <v>0</v>
      </c>
      <c r="V21" s="364"/>
      <c r="W21" s="364">
        <v>0</v>
      </c>
      <c r="X21" s="364"/>
      <c r="Y21" s="364">
        <v>2.1</v>
      </c>
      <c r="Z21" s="364"/>
      <c r="AA21" s="364">
        <v>65.08</v>
      </c>
      <c r="AB21" s="364"/>
      <c r="AC21" s="364">
        <v>9.65</v>
      </c>
      <c r="AD21" s="364"/>
      <c r="AE21" s="364">
        <v>299.08</v>
      </c>
      <c r="AF21" s="364"/>
      <c r="AG21" s="130">
        <v>4782.32</v>
      </c>
      <c r="AH21" s="130">
        <v>17</v>
      </c>
      <c r="AI21" s="365">
        <v>812.99</v>
      </c>
      <c r="AJ21" s="366"/>
      <c r="AK21" s="130">
        <v>3.4106000000000001</v>
      </c>
      <c r="AL21" s="130">
        <v>0</v>
      </c>
      <c r="AM21" s="130">
        <v>3.8513000000000002</v>
      </c>
      <c r="AN21" s="136">
        <f t="shared" si="1"/>
        <v>9.6033014811120285E-3</v>
      </c>
      <c r="AO21" s="57" t="e">
        <f>((#REF!+#REF!+#REF!+#REF!+#REF!+#REF!+#REF!)*'assessoria- realizado por item'!AN21)-M21-N21</f>
        <v>#REF!</v>
      </c>
      <c r="AP21" s="57" t="e">
        <f>(#REF!*'assessoria- realizado por item'!AN21)-K21</f>
        <v>#REF!</v>
      </c>
      <c r="AQ21" s="57" t="e">
        <f>(#REF!+#REF!+#REF!+#REF!+#REF!+#REF!+#REF!+#REF!+#REF!+#REF!+#REF!+#REF!+#REF!+#REF!+#REF!+#REF!+#REF!+#REF!+#REF!+#REF!)*AN21</f>
        <v>#REF!</v>
      </c>
      <c r="AR21" s="57" t="e">
        <f t="shared" ref="AR21:AR84" si="8">P21+S21+W21+AA21+AE21+AI21+AK21+AL21+AM21+AO21+AP21+AQ21</f>
        <v>#REF!</v>
      </c>
      <c r="AS21" s="57" t="e">
        <f t="shared" ref="AS21:AS84" si="9">AR21/E21</f>
        <v>#REF!</v>
      </c>
      <c r="AT21" s="57" t="e">
        <f t="shared" ref="AT21:AT84" si="10">AR21-W21-AI21</f>
        <v>#REF!</v>
      </c>
      <c r="AU21" s="57" t="e">
        <f t="shared" ref="AU21:AU84" si="11">AT21/E21</f>
        <v>#REF!</v>
      </c>
      <c r="AV21" s="57" t="e">
        <f t="shared" ref="AV21:AV84" si="12">AT21-AA21-(P21*9.65%)</f>
        <v>#REF!</v>
      </c>
      <c r="AW21" s="57" t="e">
        <f t="shared" ref="AW21:AW84" si="13">AV21/E21</f>
        <v>#REF!</v>
      </c>
    </row>
    <row r="22" spans="1:49" x14ac:dyDescent="0.3">
      <c r="A22" s="132"/>
      <c r="B22" s="132"/>
      <c r="C22" s="132"/>
      <c r="D22" s="132"/>
      <c r="E22" s="132"/>
      <c r="F22" s="132"/>
      <c r="G22" s="132"/>
      <c r="H22" s="132"/>
      <c r="I22" s="133"/>
      <c r="J22" s="133"/>
      <c r="K22" s="132"/>
      <c r="L22" s="132"/>
      <c r="M22" s="132"/>
      <c r="N22" s="132"/>
      <c r="O22" s="132"/>
      <c r="P22" s="132"/>
      <c r="Q22" s="367"/>
      <c r="R22" s="367"/>
      <c r="S22" s="367"/>
      <c r="T22" s="367"/>
      <c r="U22" s="367"/>
      <c r="V22" s="367"/>
      <c r="W22" s="367"/>
      <c r="X22" s="367"/>
      <c r="Y22" s="367"/>
      <c r="Z22" s="367"/>
      <c r="AA22" s="367"/>
      <c r="AB22" s="367"/>
      <c r="AC22" s="367"/>
      <c r="AD22" s="367"/>
      <c r="AE22" s="367"/>
      <c r="AF22" s="367"/>
      <c r="AG22" s="132"/>
      <c r="AH22" s="132"/>
      <c r="AI22" s="368">
        <f>SUM(AI8:AJ21)</f>
        <v>29979.230000000003</v>
      </c>
      <c r="AJ22" s="369"/>
      <c r="AK22" s="132"/>
      <c r="AL22" s="132"/>
      <c r="AM22" s="132"/>
      <c r="AN22" s="136">
        <f t="shared" si="1"/>
        <v>0</v>
      </c>
      <c r="AO22" s="57" t="e">
        <f>((#REF!+#REF!+#REF!+#REF!+#REF!+#REF!+#REF!)*'assessoria- realizado por item'!AN22)-M22-N22</f>
        <v>#REF!</v>
      </c>
      <c r="AP22" s="57" t="e">
        <f>(#REF!*'assessoria- realizado por item'!AN22)-K22</f>
        <v>#REF!</v>
      </c>
      <c r="AQ22" s="57" t="e">
        <f>(#REF!+#REF!+#REF!+#REF!+#REF!+#REF!+#REF!+#REF!+#REF!+#REF!+#REF!+#REF!+#REF!+#REF!+#REF!+#REF!+#REF!+#REF!+#REF!+#REF!)*AN22</f>
        <v>#REF!</v>
      </c>
      <c r="AR22" s="57" t="e">
        <f>P22+S22+W22+AA22+AE22+AI22+AK22+AL22+AM22+AO22+AP22+AQ22</f>
        <v>#REF!</v>
      </c>
      <c r="AS22" s="57" t="e">
        <f t="shared" si="9"/>
        <v>#REF!</v>
      </c>
      <c r="AT22" s="57" t="e">
        <f>AR22-W22-AI22</f>
        <v>#REF!</v>
      </c>
      <c r="AU22" s="57" t="e">
        <f t="shared" si="11"/>
        <v>#REF!</v>
      </c>
      <c r="AV22" s="57" t="e">
        <f>AT22-AA22-(P22*9.65%)</f>
        <v>#REF!</v>
      </c>
      <c r="AW22" s="57" t="e">
        <f t="shared" si="13"/>
        <v>#REF!</v>
      </c>
    </row>
    <row r="23" spans="1:49" x14ac:dyDescent="0.3">
      <c r="A23" s="130"/>
      <c r="B23" s="130"/>
      <c r="C23" s="130"/>
      <c r="D23" s="130"/>
      <c r="E23" s="130"/>
      <c r="F23" s="130"/>
      <c r="G23" s="130"/>
      <c r="H23" s="130"/>
      <c r="I23" s="130"/>
      <c r="J23" s="130"/>
      <c r="K23" s="130"/>
      <c r="L23" s="130"/>
      <c r="M23" s="130"/>
      <c r="N23" s="130"/>
      <c r="O23" s="130"/>
      <c r="P23" s="130"/>
      <c r="Q23" s="364"/>
      <c r="R23" s="364"/>
      <c r="S23" s="364"/>
      <c r="T23" s="364"/>
      <c r="U23" s="364"/>
      <c r="V23" s="364"/>
      <c r="W23" s="364"/>
      <c r="X23" s="364"/>
      <c r="Y23" s="364"/>
      <c r="Z23" s="364"/>
      <c r="AA23" s="364"/>
      <c r="AB23" s="364"/>
      <c r="AC23" s="364"/>
      <c r="AD23" s="364"/>
      <c r="AE23" s="364"/>
      <c r="AF23" s="364"/>
      <c r="AG23" s="130"/>
      <c r="AH23" s="130"/>
      <c r="AI23" s="365"/>
      <c r="AJ23" s="366"/>
      <c r="AK23" s="130"/>
      <c r="AL23" s="130"/>
      <c r="AM23" s="130"/>
      <c r="AN23" s="136">
        <f t="shared" si="1"/>
        <v>0</v>
      </c>
      <c r="AO23" s="57" t="e">
        <f>((#REF!+#REF!+#REF!+#REF!+#REF!+#REF!+#REF!)*'assessoria- realizado por item'!AN23)-M23-N23</f>
        <v>#REF!</v>
      </c>
      <c r="AP23" s="57" t="e">
        <f>(#REF!*'assessoria- realizado por item'!AN23)-K23</f>
        <v>#REF!</v>
      </c>
      <c r="AQ23" s="57" t="e">
        <f>(#REF!+#REF!+#REF!+#REF!+#REF!+#REF!+#REF!+#REF!+#REF!+#REF!+#REF!+#REF!+#REF!+#REF!+#REF!+#REF!+#REF!+#REF!+#REF!+#REF!)*AN23</f>
        <v>#REF!</v>
      </c>
      <c r="AR23" s="57" t="e">
        <f t="shared" si="8"/>
        <v>#REF!</v>
      </c>
      <c r="AS23" s="57" t="e">
        <f t="shared" si="9"/>
        <v>#REF!</v>
      </c>
      <c r="AT23" s="57" t="e">
        <f t="shared" si="10"/>
        <v>#REF!</v>
      </c>
      <c r="AU23" s="57" t="e">
        <f t="shared" si="11"/>
        <v>#REF!</v>
      </c>
      <c r="AV23" s="57" t="e">
        <f t="shared" si="12"/>
        <v>#REF!</v>
      </c>
      <c r="AW23" s="57" t="e">
        <f t="shared" si="13"/>
        <v>#REF!</v>
      </c>
    </row>
    <row r="24" spans="1:49" x14ac:dyDescent="0.3">
      <c r="A24" s="130"/>
      <c r="B24" s="130"/>
      <c r="C24" s="130"/>
      <c r="D24" s="130"/>
      <c r="E24" s="130"/>
      <c r="F24" s="130"/>
      <c r="G24" s="130"/>
      <c r="H24" s="130"/>
      <c r="I24" s="131"/>
      <c r="J24" s="131"/>
      <c r="K24" s="130"/>
      <c r="L24" s="130"/>
      <c r="M24" s="130"/>
      <c r="N24" s="130"/>
      <c r="O24" s="130"/>
      <c r="P24" s="130"/>
      <c r="Q24" s="364"/>
      <c r="R24" s="364"/>
      <c r="S24" s="364"/>
      <c r="T24" s="364"/>
      <c r="U24" s="364"/>
      <c r="V24" s="364"/>
      <c r="W24" s="364"/>
      <c r="X24" s="364"/>
      <c r="Y24" s="364"/>
      <c r="Z24" s="364"/>
      <c r="AA24" s="364"/>
      <c r="AB24" s="364"/>
      <c r="AC24" s="364"/>
      <c r="AD24" s="364"/>
      <c r="AE24" s="364"/>
      <c r="AF24" s="364"/>
      <c r="AG24" s="130"/>
      <c r="AH24" s="130"/>
      <c r="AI24" s="365"/>
      <c r="AJ24" s="366"/>
      <c r="AK24" s="130"/>
      <c r="AL24" s="130"/>
      <c r="AM24" s="130"/>
      <c r="AN24" s="136">
        <f t="shared" si="1"/>
        <v>0</v>
      </c>
      <c r="AO24" s="57" t="e">
        <f>((#REF!+#REF!+#REF!+#REF!+#REF!+#REF!+#REF!)*'assessoria- realizado por item'!AN24)-M24-N24</f>
        <v>#REF!</v>
      </c>
      <c r="AP24" s="57" t="e">
        <f>(#REF!*'assessoria- realizado por item'!AN24)-K24</f>
        <v>#REF!</v>
      </c>
      <c r="AQ24" s="57" t="e">
        <f>(#REF!+#REF!+#REF!+#REF!+#REF!+#REF!+#REF!+#REF!+#REF!+#REF!+#REF!+#REF!+#REF!+#REF!+#REF!+#REF!+#REF!+#REF!+#REF!+#REF!)*AN24</f>
        <v>#REF!</v>
      </c>
      <c r="AR24" s="57" t="e">
        <f t="shared" si="8"/>
        <v>#REF!</v>
      </c>
      <c r="AS24" s="57" t="e">
        <f t="shared" si="9"/>
        <v>#REF!</v>
      </c>
      <c r="AT24" s="57" t="e">
        <f t="shared" si="10"/>
        <v>#REF!</v>
      </c>
      <c r="AU24" s="57" t="e">
        <f t="shared" si="11"/>
        <v>#REF!</v>
      </c>
      <c r="AV24" s="57" t="e">
        <f t="shared" si="12"/>
        <v>#REF!</v>
      </c>
      <c r="AW24" s="57" t="e">
        <f t="shared" si="13"/>
        <v>#REF!</v>
      </c>
    </row>
    <row r="25" spans="1:49" x14ac:dyDescent="0.3">
      <c r="A25" s="130"/>
      <c r="B25" s="130"/>
      <c r="C25" s="130"/>
      <c r="D25" s="130"/>
      <c r="E25" s="130"/>
      <c r="F25" s="130"/>
      <c r="G25" s="130"/>
      <c r="H25" s="130"/>
      <c r="I25" s="130"/>
      <c r="J25" s="130"/>
      <c r="K25" s="130"/>
      <c r="L25" s="130"/>
      <c r="M25" s="130"/>
      <c r="N25" s="130"/>
      <c r="O25" s="130"/>
      <c r="P25" s="130"/>
      <c r="Q25" s="364"/>
      <c r="R25" s="364"/>
      <c r="S25" s="364"/>
      <c r="T25" s="364"/>
      <c r="U25" s="364"/>
      <c r="V25" s="364"/>
      <c r="W25" s="364"/>
      <c r="X25" s="364"/>
      <c r="Y25" s="364"/>
      <c r="Z25" s="364"/>
      <c r="AA25" s="364"/>
      <c r="AB25" s="364"/>
      <c r="AC25" s="364"/>
      <c r="AD25" s="364"/>
      <c r="AE25" s="364"/>
      <c r="AF25" s="364"/>
      <c r="AG25" s="130"/>
      <c r="AH25" s="130"/>
      <c r="AI25" s="365"/>
      <c r="AJ25" s="366"/>
      <c r="AK25" s="130"/>
      <c r="AL25" s="130"/>
      <c r="AM25" s="130"/>
      <c r="AN25" s="136">
        <f t="shared" si="1"/>
        <v>0</v>
      </c>
      <c r="AO25" s="57" t="e">
        <f>((#REF!+#REF!+#REF!+#REF!+#REF!+#REF!+#REF!)*'assessoria- realizado por item'!AN25)-M25-N25</f>
        <v>#REF!</v>
      </c>
      <c r="AP25" s="57" t="e">
        <f>(#REF!*'assessoria- realizado por item'!AN25)-K25</f>
        <v>#REF!</v>
      </c>
      <c r="AQ25" s="57" t="e">
        <f>(#REF!+#REF!+#REF!+#REF!+#REF!+#REF!+#REF!+#REF!+#REF!+#REF!+#REF!+#REF!+#REF!+#REF!+#REF!+#REF!+#REF!+#REF!+#REF!+#REF!)*AN25</f>
        <v>#REF!</v>
      </c>
      <c r="AR25" s="57" t="e">
        <f t="shared" si="8"/>
        <v>#REF!</v>
      </c>
      <c r="AS25" s="57" t="e">
        <f t="shared" si="9"/>
        <v>#REF!</v>
      </c>
      <c r="AT25" s="57" t="e">
        <f t="shared" si="10"/>
        <v>#REF!</v>
      </c>
      <c r="AU25" s="57" t="e">
        <f t="shared" si="11"/>
        <v>#REF!</v>
      </c>
      <c r="AV25" s="57" t="e">
        <f t="shared" si="12"/>
        <v>#REF!</v>
      </c>
      <c r="AW25" s="57" t="e">
        <f t="shared" si="13"/>
        <v>#REF!</v>
      </c>
    </row>
    <row r="26" spans="1:49" x14ac:dyDescent="0.3">
      <c r="A26" s="130"/>
      <c r="B26" s="130"/>
      <c r="C26" s="130"/>
      <c r="D26" s="130"/>
      <c r="E26" s="130"/>
      <c r="F26" s="130"/>
      <c r="G26" s="130"/>
      <c r="H26" s="130"/>
      <c r="I26" s="130"/>
      <c r="J26" s="130"/>
      <c r="K26" s="130"/>
      <c r="L26" s="130"/>
      <c r="M26" s="130"/>
      <c r="N26" s="130"/>
      <c r="O26" s="130"/>
      <c r="P26" s="130"/>
      <c r="Q26" s="364"/>
      <c r="R26" s="364"/>
      <c r="S26" s="364"/>
      <c r="T26" s="364"/>
      <c r="U26" s="364"/>
      <c r="V26" s="364"/>
      <c r="W26" s="364"/>
      <c r="X26" s="364"/>
      <c r="Y26" s="364"/>
      <c r="Z26" s="364"/>
      <c r="AA26" s="364"/>
      <c r="AB26" s="364"/>
      <c r="AC26" s="364"/>
      <c r="AD26" s="364"/>
      <c r="AE26" s="364"/>
      <c r="AF26" s="364"/>
      <c r="AG26" s="130"/>
      <c r="AH26" s="130"/>
      <c r="AI26" s="365"/>
      <c r="AJ26" s="366"/>
      <c r="AK26" s="130"/>
      <c r="AL26" s="130"/>
      <c r="AM26" s="130"/>
      <c r="AN26" s="136">
        <f t="shared" si="1"/>
        <v>0</v>
      </c>
      <c r="AO26" s="57" t="e">
        <f>((#REF!+#REF!+#REF!+#REF!+#REF!+#REF!+#REF!)*'assessoria- realizado por item'!AN26)-M26-N26</f>
        <v>#REF!</v>
      </c>
      <c r="AP26" s="57" t="e">
        <f>(#REF!*'assessoria- realizado por item'!AN26)-K26</f>
        <v>#REF!</v>
      </c>
      <c r="AQ26" s="57" t="e">
        <f>(#REF!+#REF!+#REF!+#REF!+#REF!+#REF!+#REF!+#REF!+#REF!+#REF!+#REF!+#REF!+#REF!+#REF!+#REF!+#REF!+#REF!+#REF!+#REF!+#REF!)*AN26</f>
        <v>#REF!</v>
      </c>
      <c r="AR26" s="57" t="e">
        <f t="shared" si="8"/>
        <v>#REF!</v>
      </c>
      <c r="AS26" s="57" t="e">
        <f t="shared" si="9"/>
        <v>#REF!</v>
      </c>
      <c r="AT26" s="57" t="e">
        <f t="shared" si="10"/>
        <v>#REF!</v>
      </c>
      <c r="AU26" s="57" t="e">
        <f t="shared" si="11"/>
        <v>#REF!</v>
      </c>
      <c r="AV26" s="57" t="e">
        <f t="shared" si="12"/>
        <v>#REF!</v>
      </c>
      <c r="AW26" s="57" t="e">
        <f t="shared" si="13"/>
        <v>#REF!</v>
      </c>
    </row>
    <row r="27" spans="1:49" x14ac:dyDescent="0.3">
      <c r="A27" s="130"/>
      <c r="B27" s="130"/>
      <c r="C27" s="130"/>
      <c r="D27" s="130"/>
      <c r="E27" s="130"/>
      <c r="F27" s="130"/>
      <c r="G27" s="130"/>
      <c r="H27" s="130"/>
      <c r="I27" s="130"/>
      <c r="J27" s="130"/>
      <c r="K27" s="130"/>
      <c r="L27" s="130"/>
      <c r="M27" s="130"/>
      <c r="N27" s="130"/>
      <c r="O27" s="130"/>
      <c r="P27" s="130"/>
      <c r="Q27" s="364"/>
      <c r="R27" s="364"/>
      <c r="S27" s="364"/>
      <c r="T27" s="364"/>
      <c r="U27" s="364"/>
      <c r="V27" s="364"/>
      <c r="W27" s="364"/>
      <c r="X27" s="364"/>
      <c r="Y27" s="364"/>
      <c r="Z27" s="364"/>
      <c r="AA27" s="364"/>
      <c r="AB27" s="364"/>
      <c r="AC27" s="364"/>
      <c r="AD27" s="364"/>
      <c r="AE27" s="364"/>
      <c r="AF27" s="364"/>
      <c r="AG27" s="130"/>
      <c r="AH27" s="130"/>
      <c r="AI27" s="365"/>
      <c r="AJ27" s="366"/>
      <c r="AK27" s="130"/>
      <c r="AL27" s="130"/>
      <c r="AM27" s="130"/>
      <c r="AN27" s="136">
        <f t="shared" si="1"/>
        <v>0</v>
      </c>
      <c r="AO27" s="57" t="e">
        <f>((#REF!+#REF!+#REF!+#REF!+#REF!+#REF!+#REF!)*'assessoria- realizado por item'!AN27)-M27-N27</f>
        <v>#REF!</v>
      </c>
      <c r="AP27" s="57" t="e">
        <f>(#REF!*'assessoria- realizado por item'!AN27)-K27</f>
        <v>#REF!</v>
      </c>
      <c r="AQ27" s="57" t="e">
        <f>(#REF!+#REF!+#REF!+#REF!+#REF!+#REF!+#REF!+#REF!+#REF!+#REF!+#REF!+#REF!+#REF!+#REF!+#REF!+#REF!+#REF!+#REF!+#REF!+#REF!)*AN27</f>
        <v>#REF!</v>
      </c>
      <c r="AR27" s="57" t="e">
        <f t="shared" si="8"/>
        <v>#REF!</v>
      </c>
      <c r="AS27" s="57" t="e">
        <f t="shared" si="9"/>
        <v>#REF!</v>
      </c>
      <c r="AT27" s="57" t="e">
        <f t="shared" si="10"/>
        <v>#REF!</v>
      </c>
      <c r="AU27" s="57" t="e">
        <f t="shared" si="11"/>
        <v>#REF!</v>
      </c>
      <c r="AV27" s="57" t="e">
        <f t="shared" si="12"/>
        <v>#REF!</v>
      </c>
      <c r="AW27" s="57" t="e">
        <f t="shared" si="13"/>
        <v>#REF!</v>
      </c>
    </row>
    <row r="28" spans="1:49" x14ac:dyDescent="0.3">
      <c r="A28" s="130"/>
      <c r="B28" s="130"/>
      <c r="C28" s="130"/>
      <c r="D28" s="130"/>
      <c r="E28" s="130"/>
      <c r="F28" s="130"/>
      <c r="G28" s="130"/>
      <c r="H28" s="130"/>
      <c r="I28" s="130"/>
      <c r="J28" s="130"/>
      <c r="K28" s="130"/>
      <c r="L28" s="130"/>
      <c r="M28" s="130"/>
      <c r="N28" s="130"/>
      <c r="O28" s="130"/>
      <c r="P28" s="130"/>
      <c r="Q28" s="364"/>
      <c r="R28" s="364"/>
      <c r="S28" s="364"/>
      <c r="T28" s="364"/>
      <c r="U28" s="364"/>
      <c r="V28" s="364"/>
      <c r="W28" s="364"/>
      <c r="X28" s="364"/>
      <c r="Y28" s="364"/>
      <c r="Z28" s="364"/>
      <c r="AA28" s="364"/>
      <c r="AB28" s="364"/>
      <c r="AC28" s="364"/>
      <c r="AD28" s="364"/>
      <c r="AE28" s="364"/>
      <c r="AF28" s="364"/>
      <c r="AG28" s="130"/>
      <c r="AH28" s="130"/>
      <c r="AI28" s="365"/>
      <c r="AJ28" s="366"/>
      <c r="AK28" s="130"/>
      <c r="AL28" s="130"/>
      <c r="AM28" s="130"/>
      <c r="AN28" s="136">
        <f t="shared" si="1"/>
        <v>0</v>
      </c>
      <c r="AO28" s="57" t="e">
        <f>((#REF!+#REF!+#REF!+#REF!+#REF!+#REF!+#REF!)*'assessoria- realizado por item'!AN28)-M28-N28</f>
        <v>#REF!</v>
      </c>
      <c r="AP28" s="57" t="e">
        <f>(#REF!*'assessoria- realizado por item'!AN28)-K28</f>
        <v>#REF!</v>
      </c>
      <c r="AQ28" s="57" t="e">
        <f>(#REF!+#REF!+#REF!+#REF!+#REF!+#REF!+#REF!+#REF!+#REF!+#REF!+#REF!+#REF!+#REF!+#REF!+#REF!+#REF!+#REF!+#REF!+#REF!+#REF!)*AN28</f>
        <v>#REF!</v>
      </c>
      <c r="AR28" s="57" t="e">
        <f t="shared" si="8"/>
        <v>#REF!</v>
      </c>
      <c r="AS28" s="57" t="e">
        <f t="shared" si="9"/>
        <v>#REF!</v>
      </c>
      <c r="AT28" s="57" t="e">
        <f t="shared" si="10"/>
        <v>#REF!</v>
      </c>
      <c r="AU28" s="57" t="e">
        <f t="shared" si="11"/>
        <v>#REF!</v>
      </c>
      <c r="AV28" s="57" t="e">
        <f t="shared" si="12"/>
        <v>#REF!</v>
      </c>
      <c r="AW28" s="57" t="e">
        <f t="shared" si="13"/>
        <v>#REF!</v>
      </c>
    </row>
    <row r="29" spans="1:49" x14ac:dyDescent="0.3">
      <c r="A29" s="130"/>
      <c r="B29" s="130"/>
      <c r="C29" s="130"/>
      <c r="D29" s="130"/>
      <c r="E29" s="130"/>
      <c r="F29" s="130"/>
      <c r="G29" s="130"/>
      <c r="H29" s="130"/>
      <c r="I29" s="130"/>
      <c r="J29" s="130"/>
      <c r="K29" s="130"/>
      <c r="L29" s="130"/>
      <c r="M29" s="130"/>
      <c r="N29" s="130"/>
      <c r="O29" s="130"/>
      <c r="P29" s="130"/>
      <c r="Q29" s="364"/>
      <c r="R29" s="364"/>
      <c r="S29" s="364"/>
      <c r="T29" s="364"/>
      <c r="U29" s="364"/>
      <c r="V29" s="364"/>
      <c r="W29" s="364"/>
      <c r="X29" s="364"/>
      <c r="Y29" s="364"/>
      <c r="Z29" s="364"/>
      <c r="AA29" s="364"/>
      <c r="AB29" s="364"/>
      <c r="AC29" s="364"/>
      <c r="AD29" s="364"/>
      <c r="AE29" s="364"/>
      <c r="AF29" s="364"/>
      <c r="AG29" s="130"/>
      <c r="AH29" s="130"/>
      <c r="AI29" s="365"/>
      <c r="AJ29" s="366"/>
      <c r="AK29" s="130"/>
      <c r="AL29" s="130"/>
      <c r="AM29" s="130"/>
      <c r="AN29" s="136">
        <f t="shared" si="1"/>
        <v>0</v>
      </c>
      <c r="AO29" s="57" t="e">
        <f>((#REF!+#REF!+#REF!+#REF!+#REF!+#REF!+#REF!)*'assessoria- realizado por item'!AN29)-M29-N29</f>
        <v>#REF!</v>
      </c>
      <c r="AP29" s="57" t="e">
        <f>(#REF!*'assessoria- realizado por item'!AN29)-K29</f>
        <v>#REF!</v>
      </c>
      <c r="AQ29" s="57" t="e">
        <f>(#REF!+#REF!+#REF!+#REF!+#REF!+#REF!+#REF!+#REF!+#REF!+#REF!+#REF!+#REF!+#REF!+#REF!+#REF!+#REF!+#REF!+#REF!+#REF!+#REF!)*AN29</f>
        <v>#REF!</v>
      </c>
      <c r="AR29" s="57" t="e">
        <f t="shared" si="8"/>
        <v>#REF!</v>
      </c>
      <c r="AS29" s="57" t="e">
        <f t="shared" si="9"/>
        <v>#REF!</v>
      </c>
      <c r="AT29" s="57" t="e">
        <f t="shared" si="10"/>
        <v>#REF!</v>
      </c>
      <c r="AU29" s="57" t="e">
        <f t="shared" si="11"/>
        <v>#REF!</v>
      </c>
      <c r="AV29" s="57" t="e">
        <f t="shared" si="12"/>
        <v>#REF!</v>
      </c>
      <c r="AW29" s="57" t="e">
        <f t="shared" si="13"/>
        <v>#REF!</v>
      </c>
    </row>
    <row r="30" spans="1:49" x14ac:dyDescent="0.3">
      <c r="A30" s="130"/>
      <c r="B30" s="130"/>
      <c r="C30" s="130"/>
      <c r="D30" s="130"/>
      <c r="E30" s="130"/>
      <c r="F30" s="130"/>
      <c r="G30" s="130"/>
      <c r="H30" s="130"/>
      <c r="I30" s="130"/>
      <c r="J30" s="130"/>
      <c r="K30" s="130"/>
      <c r="L30" s="130"/>
      <c r="M30" s="130"/>
      <c r="N30" s="130"/>
      <c r="O30" s="130"/>
      <c r="P30" s="130"/>
      <c r="Q30" s="364"/>
      <c r="R30" s="364"/>
      <c r="S30" s="364"/>
      <c r="T30" s="364"/>
      <c r="U30" s="364"/>
      <c r="V30" s="364"/>
      <c r="W30" s="364"/>
      <c r="X30" s="364"/>
      <c r="Y30" s="364"/>
      <c r="Z30" s="364"/>
      <c r="AA30" s="364"/>
      <c r="AB30" s="364"/>
      <c r="AC30" s="364"/>
      <c r="AD30" s="364"/>
      <c r="AE30" s="364"/>
      <c r="AF30" s="364"/>
      <c r="AG30" s="130"/>
      <c r="AH30" s="130"/>
      <c r="AI30" s="365"/>
      <c r="AJ30" s="366"/>
      <c r="AK30" s="130"/>
      <c r="AL30" s="130"/>
      <c r="AM30" s="130"/>
      <c r="AN30" s="136">
        <f t="shared" si="1"/>
        <v>0</v>
      </c>
      <c r="AO30" s="57" t="e">
        <f>((#REF!+#REF!+#REF!+#REF!+#REF!+#REF!+#REF!)*'assessoria- realizado por item'!AN30)-M30-N30</f>
        <v>#REF!</v>
      </c>
      <c r="AP30" s="57" t="e">
        <f>(#REF!*'assessoria- realizado por item'!AN30)-K30</f>
        <v>#REF!</v>
      </c>
      <c r="AQ30" s="57" t="e">
        <f>(#REF!+#REF!+#REF!+#REF!+#REF!+#REF!+#REF!+#REF!+#REF!+#REF!+#REF!+#REF!+#REF!+#REF!+#REF!+#REF!+#REF!+#REF!+#REF!+#REF!)*AN30</f>
        <v>#REF!</v>
      </c>
      <c r="AR30" s="57" t="e">
        <f t="shared" si="8"/>
        <v>#REF!</v>
      </c>
      <c r="AS30" s="57" t="e">
        <f t="shared" si="9"/>
        <v>#REF!</v>
      </c>
      <c r="AT30" s="57" t="e">
        <f t="shared" si="10"/>
        <v>#REF!</v>
      </c>
      <c r="AU30" s="57" t="e">
        <f t="shared" si="11"/>
        <v>#REF!</v>
      </c>
      <c r="AV30" s="57" t="e">
        <f t="shared" si="12"/>
        <v>#REF!</v>
      </c>
      <c r="AW30" s="57" t="e">
        <f t="shared" si="13"/>
        <v>#REF!</v>
      </c>
    </row>
    <row r="31" spans="1:49" x14ac:dyDescent="0.3">
      <c r="A31" s="130"/>
      <c r="B31" s="130"/>
      <c r="C31" s="130"/>
      <c r="D31" s="130"/>
      <c r="E31" s="130"/>
      <c r="F31" s="130"/>
      <c r="G31" s="130"/>
      <c r="H31" s="130"/>
      <c r="I31" s="130"/>
      <c r="J31" s="130"/>
      <c r="K31" s="130"/>
      <c r="L31" s="130"/>
      <c r="M31" s="130"/>
      <c r="N31" s="130"/>
      <c r="O31" s="130"/>
      <c r="P31" s="130"/>
      <c r="Q31" s="364"/>
      <c r="R31" s="364"/>
      <c r="S31" s="364"/>
      <c r="T31" s="364"/>
      <c r="U31" s="364"/>
      <c r="V31" s="364"/>
      <c r="W31" s="364"/>
      <c r="X31" s="364"/>
      <c r="Y31" s="364"/>
      <c r="Z31" s="364"/>
      <c r="AA31" s="364"/>
      <c r="AB31" s="364"/>
      <c r="AC31" s="364"/>
      <c r="AD31" s="364"/>
      <c r="AE31" s="364"/>
      <c r="AF31" s="364"/>
      <c r="AG31" s="130"/>
      <c r="AH31" s="130"/>
      <c r="AI31" s="365"/>
      <c r="AJ31" s="366"/>
      <c r="AK31" s="130"/>
      <c r="AL31" s="130"/>
      <c r="AM31" s="130"/>
      <c r="AN31" s="136">
        <f t="shared" si="1"/>
        <v>0</v>
      </c>
      <c r="AO31" s="57" t="e">
        <f>((#REF!+#REF!+#REF!+#REF!+#REF!+#REF!+#REF!)*'assessoria- realizado por item'!AN31)-M31-N31</f>
        <v>#REF!</v>
      </c>
      <c r="AP31" s="57" t="e">
        <f>(#REF!*'assessoria- realizado por item'!AN31)-K31</f>
        <v>#REF!</v>
      </c>
      <c r="AQ31" s="57" t="e">
        <f>(#REF!+#REF!+#REF!+#REF!+#REF!+#REF!+#REF!+#REF!+#REF!+#REF!+#REF!+#REF!+#REF!+#REF!+#REF!+#REF!+#REF!+#REF!+#REF!+#REF!)*AN31</f>
        <v>#REF!</v>
      </c>
      <c r="AR31" s="57" t="e">
        <f t="shared" si="8"/>
        <v>#REF!</v>
      </c>
      <c r="AS31" s="57" t="e">
        <f t="shared" si="9"/>
        <v>#REF!</v>
      </c>
      <c r="AT31" s="57" t="e">
        <f t="shared" si="10"/>
        <v>#REF!</v>
      </c>
      <c r="AU31" s="57" t="e">
        <f t="shared" si="11"/>
        <v>#REF!</v>
      </c>
      <c r="AV31" s="57" t="e">
        <f t="shared" si="12"/>
        <v>#REF!</v>
      </c>
      <c r="AW31" s="57" t="e">
        <f t="shared" si="13"/>
        <v>#REF!</v>
      </c>
    </row>
    <row r="32" spans="1:49" x14ac:dyDescent="0.3">
      <c r="A32" s="130"/>
      <c r="B32" s="130"/>
      <c r="C32" s="130"/>
      <c r="D32" s="130"/>
      <c r="E32" s="130"/>
      <c r="F32" s="130"/>
      <c r="G32" s="130"/>
      <c r="H32" s="130"/>
      <c r="I32" s="130"/>
      <c r="J32" s="130"/>
      <c r="K32" s="130"/>
      <c r="L32" s="130"/>
      <c r="M32" s="130"/>
      <c r="N32" s="130"/>
      <c r="O32" s="130"/>
      <c r="P32" s="130"/>
      <c r="Q32" s="364"/>
      <c r="R32" s="364"/>
      <c r="S32" s="364"/>
      <c r="T32" s="364"/>
      <c r="U32" s="364"/>
      <c r="V32" s="364"/>
      <c r="W32" s="364"/>
      <c r="X32" s="364"/>
      <c r="Y32" s="364"/>
      <c r="Z32" s="364"/>
      <c r="AA32" s="364"/>
      <c r="AB32" s="364"/>
      <c r="AC32" s="364"/>
      <c r="AD32" s="364"/>
      <c r="AE32" s="364"/>
      <c r="AF32" s="364"/>
      <c r="AG32" s="130"/>
      <c r="AH32" s="130"/>
      <c r="AI32" s="365"/>
      <c r="AJ32" s="366"/>
      <c r="AK32" s="130"/>
      <c r="AL32" s="130"/>
      <c r="AM32" s="130"/>
      <c r="AN32" s="136">
        <f t="shared" si="1"/>
        <v>0</v>
      </c>
      <c r="AO32" s="57" t="e">
        <f>((#REF!+#REF!+#REF!+#REF!+#REF!+#REF!+#REF!)*'assessoria- realizado por item'!AN32)-M32-N32</f>
        <v>#REF!</v>
      </c>
      <c r="AP32" s="57" t="e">
        <f>(#REF!*'assessoria- realizado por item'!AN32)-K32</f>
        <v>#REF!</v>
      </c>
      <c r="AQ32" s="57" t="e">
        <f>(#REF!+#REF!+#REF!+#REF!+#REF!+#REF!+#REF!+#REF!+#REF!+#REF!+#REF!+#REF!+#REF!+#REF!+#REF!+#REF!+#REF!+#REF!+#REF!+#REF!)*AN32</f>
        <v>#REF!</v>
      </c>
      <c r="AR32" s="57" t="e">
        <f t="shared" si="8"/>
        <v>#REF!</v>
      </c>
      <c r="AS32" s="57" t="e">
        <f t="shared" si="9"/>
        <v>#REF!</v>
      </c>
      <c r="AT32" s="57" t="e">
        <f t="shared" si="10"/>
        <v>#REF!</v>
      </c>
      <c r="AU32" s="57" t="e">
        <f t="shared" si="11"/>
        <v>#REF!</v>
      </c>
      <c r="AV32" s="57" t="e">
        <f t="shared" si="12"/>
        <v>#REF!</v>
      </c>
      <c r="AW32" s="57" t="e">
        <f t="shared" si="13"/>
        <v>#REF!</v>
      </c>
    </row>
    <row r="33" spans="1:49" x14ac:dyDescent="0.3">
      <c r="A33" s="130"/>
      <c r="B33" s="130"/>
      <c r="C33" s="130"/>
      <c r="D33" s="130"/>
      <c r="E33" s="130"/>
      <c r="F33" s="130"/>
      <c r="G33" s="130"/>
      <c r="H33" s="130"/>
      <c r="I33" s="130"/>
      <c r="J33" s="130"/>
      <c r="K33" s="130"/>
      <c r="L33" s="130"/>
      <c r="M33" s="130"/>
      <c r="N33" s="130"/>
      <c r="O33" s="130"/>
      <c r="P33" s="130"/>
      <c r="Q33" s="364"/>
      <c r="R33" s="364"/>
      <c r="S33" s="364"/>
      <c r="T33" s="364"/>
      <c r="U33" s="364"/>
      <c r="V33" s="364"/>
      <c r="W33" s="364"/>
      <c r="X33" s="364"/>
      <c r="Y33" s="364"/>
      <c r="Z33" s="364"/>
      <c r="AA33" s="364"/>
      <c r="AB33" s="364"/>
      <c r="AC33" s="364"/>
      <c r="AD33" s="364"/>
      <c r="AE33" s="364"/>
      <c r="AF33" s="364"/>
      <c r="AG33" s="130"/>
      <c r="AH33" s="130"/>
      <c r="AI33" s="365"/>
      <c r="AJ33" s="366"/>
      <c r="AK33" s="130"/>
      <c r="AL33" s="130"/>
      <c r="AM33" s="130"/>
      <c r="AN33" s="136">
        <f t="shared" si="1"/>
        <v>0</v>
      </c>
      <c r="AO33" s="57" t="e">
        <f>((#REF!+#REF!+#REF!+#REF!+#REF!+#REF!+#REF!)*'assessoria- realizado por item'!AN33)-M33-N33</f>
        <v>#REF!</v>
      </c>
      <c r="AP33" s="57" t="e">
        <f>(#REF!*'assessoria- realizado por item'!AN33)-K33</f>
        <v>#REF!</v>
      </c>
      <c r="AQ33" s="57" t="e">
        <f>(#REF!+#REF!+#REF!+#REF!+#REF!+#REF!+#REF!+#REF!+#REF!+#REF!+#REF!+#REF!+#REF!+#REF!+#REF!+#REF!+#REF!+#REF!+#REF!+#REF!)*AN33</f>
        <v>#REF!</v>
      </c>
      <c r="AR33" s="57" t="e">
        <f t="shared" si="8"/>
        <v>#REF!</v>
      </c>
      <c r="AS33" s="57" t="e">
        <f t="shared" si="9"/>
        <v>#REF!</v>
      </c>
      <c r="AT33" s="57" t="e">
        <f t="shared" si="10"/>
        <v>#REF!</v>
      </c>
      <c r="AU33" s="57" t="e">
        <f t="shared" si="11"/>
        <v>#REF!</v>
      </c>
      <c r="AV33" s="57" t="e">
        <f t="shared" si="12"/>
        <v>#REF!</v>
      </c>
      <c r="AW33" s="57" t="e">
        <f t="shared" si="13"/>
        <v>#REF!</v>
      </c>
    </row>
    <row r="34" spans="1:49" x14ac:dyDescent="0.3">
      <c r="A34" s="130"/>
      <c r="B34" s="130"/>
      <c r="C34" s="130"/>
      <c r="D34" s="130"/>
      <c r="E34" s="130"/>
      <c r="F34" s="130"/>
      <c r="G34" s="130"/>
      <c r="H34" s="130"/>
      <c r="I34" s="130"/>
      <c r="J34" s="130"/>
      <c r="K34" s="130"/>
      <c r="L34" s="130"/>
      <c r="M34" s="130"/>
      <c r="N34" s="130"/>
      <c r="O34" s="130"/>
      <c r="P34" s="130"/>
      <c r="Q34" s="364"/>
      <c r="R34" s="364"/>
      <c r="S34" s="364"/>
      <c r="T34" s="364"/>
      <c r="U34" s="364"/>
      <c r="V34" s="364"/>
      <c r="W34" s="364"/>
      <c r="X34" s="364"/>
      <c r="Y34" s="364"/>
      <c r="Z34" s="364"/>
      <c r="AA34" s="364"/>
      <c r="AB34" s="364"/>
      <c r="AC34" s="364"/>
      <c r="AD34" s="364"/>
      <c r="AE34" s="364"/>
      <c r="AF34" s="364"/>
      <c r="AG34" s="130"/>
      <c r="AH34" s="130"/>
      <c r="AI34" s="365"/>
      <c r="AJ34" s="366"/>
      <c r="AK34" s="130"/>
      <c r="AL34" s="130"/>
      <c r="AM34" s="130"/>
      <c r="AN34" s="136">
        <f t="shared" si="1"/>
        <v>0</v>
      </c>
      <c r="AO34" s="57" t="e">
        <f>((#REF!+#REF!+#REF!+#REF!+#REF!+#REF!+#REF!)*'assessoria- realizado por item'!AN34)-M34-N34</f>
        <v>#REF!</v>
      </c>
      <c r="AP34" s="57" t="e">
        <f>(#REF!*'assessoria- realizado por item'!AN34)-K34</f>
        <v>#REF!</v>
      </c>
      <c r="AQ34" s="57" t="e">
        <f>(#REF!+#REF!+#REF!+#REF!+#REF!+#REF!+#REF!+#REF!+#REF!+#REF!+#REF!+#REF!+#REF!+#REF!+#REF!+#REF!+#REF!+#REF!+#REF!+#REF!)*AN34</f>
        <v>#REF!</v>
      </c>
      <c r="AR34" s="57" t="e">
        <f t="shared" si="8"/>
        <v>#REF!</v>
      </c>
      <c r="AS34" s="57" t="e">
        <f t="shared" si="9"/>
        <v>#REF!</v>
      </c>
      <c r="AT34" s="57" t="e">
        <f t="shared" si="10"/>
        <v>#REF!</v>
      </c>
      <c r="AU34" s="57" t="e">
        <f t="shared" si="11"/>
        <v>#REF!</v>
      </c>
      <c r="AV34" s="57" t="e">
        <f t="shared" si="12"/>
        <v>#REF!</v>
      </c>
      <c r="AW34" s="57" t="e">
        <f t="shared" si="13"/>
        <v>#REF!</v>
      </c>
    </row>
    <row r="35" spans="1:49" x14ac:dyDescent="0.3">
      <c r="A35" s="130"/>
      <c r="B35" s="130"/>
      <c r="C35" s="130"/>
      <c r="D35" s="130"/>
      <c r="E35" s="130"/>
      <c r="F35" s="130"/>
      <c r="G35" s="130"/>
      <c r="H35" s="130"/>
      <c r="I35" s="130"/>
      <c r="J35" s="130"/>
      <c r="K35" s="130"/>
      <c r="L35" s="130"/>
      <c r="M35" s="130"/>
      <c r="N35" s="130"/>
      <c r="O35" s="130"/>
      <c r="P35" s="130"/>
      <c r="Q35" s="364"/>
      <c r="R35" s="364"/>
      <c r="S35" s="364"/>
      <c r="T35" s="364"/>
      <c r="U35" s="364"/>
      <c r="V35" s="364"/>
      <c r="W35" s="364"/>
      <c r="X35" s="364"/>
      <c r="Y35" s="364"/>
      <c r="Z35" s="364"/>
      <c r="AA35" s="364"/>
      <c r="AB35" s="364"/>
      <c r="AC35" s="364"/>
      <c r="AD35" s="364"/>
      <c r="AE35" s="364"/>
      <c r="AF35" s="364"/>
      <c r="AG35" s="130"/>
      <c r="AH35" s="130"/>
      <c r="AI35" s="365"/>
      <c r="AJ35" s="366"/>
      <c r="AK35" s="130"/>
      <c r="AL35" s="130"/>
      <c r="AM35" s="130"/>
      <c r="AN35" s="136">
        <f t="shared" si="1"/>
        <v>0</v>
      </c>
      <c r="AO35" s="57" t="e">
        <f>((#REF!+#REF!+#REF!+#REF!+#REF!+#REF!+#REF!)*'assessoria- realizado por item'!AN35)-M35-N35</f>
        <v>#REF!</v>
      </c>
      <c r="AP35" s="57" t="e">
        <f>(#REF!*'assessoria- realizado por item'!AN35)-K35</f>
        <v>#REF!</v>
      </c>
      <c r="AQ35" s="57" t="e">
        <f>(#REF!+#REF!+#REF!+#REF!+#REF!+#REF!+#REF!+#REF!+#REF!+#REF!+#REF!+#REF!+#REF!+#REF!+#REF!+#REF!+#REF!+#REF!+#REF!+#REF!)*AN35</f>
        <v>#REF!</v>
      </c>
      <c r="AR35" s="57" t="e">
        <f t="shared" si="8"/>
        <v>#REF!</v>
      </c>
      <c r="AS35" s="57" t="e">
        <f t="shared" si="9"/>
        <v>#REF!</v>
      </c>
      <c r="AT35" s="57" t="e">
        <f t="shared" si="10"/>
        <v>#REF!</v>
      </c>
      <c r="AU35" s="57" t="e">
        <f t="shared" si="11"/>
        <v>#REF!</v>
      </c>
      <c r="AV35" s="57" t="e">
        <f t="shared" si="12"/>
        <v>#REF!</v>
      </c>
      <c r="AW35" s="57" t="e">
        <f t="shared" si="13"/>
        <v>#REF!</v>
      </c>
    </row>
    <row r="36" spans="1:49" x14ac:dyDescent="0.3">
      <c r="A36" s="130"/>
      <c r="B36" s="130"/>
      <c r="C36" s="130"/>
      <c r="D36" s="130"/>
      <c r="E36" s="130"/>
      <c r="F36" s="130"/>
      <c r="G36" s="130"/>
      <c r="H36" s="130"/>
      <c r="I36" s="130"/>
      <c r="J36" s="130"/>
      <c r="K36" s="130"/>
      <c r="L36" s="130"/>
      <c r="M36" s="130"/>
      <c r="N36" s="130"/>
      <c r="O36" s="130"/>
      <c r="P36" s="130"/>
      <c r="Q36" s="364"/>
      <c r="R36" s="364"/>
      <c r="S36" s="364"/>
      <c r="T36" s="364"/>
      <c r="U36" s="364"/>
      <c r="V36" s="364"/>
      <c r="W36" s="364"/>
      <c r="X36" s="364"/>
      <c r="Y36" s="364"/>
      <c r="Z36" s="364"/>
      <c r="AA36" s="364"/>
      <c r="AB36" s="364"/>
      <c r="AC36" s="364"/>
      <c r="AD36" s="364"/>
      <c r="AE36" s="364"/>
      <c r="AF36" s="364"/>
      <c r="AG36" s="130"/>
      <c r="AH36" s="130"/>
      <c r="AI36" s="365"/>
      <c r="AJ36" s="366"/>
      <c r="AK36" s="130"/>
      <c r="AL36" s="130"/>
      <c r="AM36" s="130"/>
      <c r="AN36" s="136">
        <f t="shared" si="1"/>
        <v>0</v>
      </c>
      <c r="AO36" s="57" t="e">
        <f>((#REF!+#REF!+#REF!+#REF!+#REF!+#REF!+#REF!)*'assessoria- realizado por item'!AN36)-M36-N36</f>
        <v>#REF!</v>
      </c>
      <c r="AP36" s="57" t="e">
        <f>(#REF!*'assessoria- realizado por item'!AN36)-K36</f>
        <v>#REF!</v>
      </c>
      <c r="AQ36" s="57" t="e">
        <f>(#REF!+#REF!+#REF!+#REF!+#REF!+#REF!+#REF!+#REF!+#REF!+#REF!+#REF!+#REF!+#REF!+#REF!+#REF!+#REF!+#REF!+#REF!+#REF!+#REF!)*AN36</f>
        <v>#REF!</v>
      </c>
      <c r="AR36" s="57" t="e">
        <f t="shared" si="8"/>
        <v>#REF!</v>
      </c>
      <c r="AS36" s="57" t="e">
        <f t="shared" si="9"/>
        <v>#REF!</v>
      </c>
      <c r="AT36" s="57" t="e">
        <f t="shared" si="10"/>
        <v>#REF!</v>
      </c>
      <c r="AU36" s="57" t="e">
        <f t="shared" si="11"/>
        <v>#REF!</v>
      </c>
      <c r="AV36" s="57" t="e">
        <f t="shared" si="12"/>
        <v>#REF!</v>
      </c>
      <c r="AW36" s="57" t="e">
        <f t="shared" si="13"/>
        <v>#REF!</v>
      </c>
    </row>
    <row r="37" spans="1:49" x14ac:dyDescent="0.3">
      <c r="A37" s="130"/>
      <c r="B37" s="130"/>
      <c r="C37" s="130"/>
      <c r="D37" s="130"/>
      <c r="E37" s="130"/>
      <c r="F37" s="130"/>
      <c r="G37" s="130"/>
      <c r="H37" s="130"/>
      <c r="I37" s="130"/>
      <c r="J37" s="130"/>
      <c r="K37" s="130"/>
      <c r="L37" s="130"/>
      <c r="M37" s="130"/>
      <c r="N37" s="130"/>
      <c r="O37" s="130"/>
      <c r="P37" s="130"/>
      <c r="Q37" s="364"/>
      <c r="R37" s="364"/>
      <c r="S37" s="364"/>
      <c r="T37" s="364"/>
      <c r="U37" s="364"/>
      <c r="V37" s="364"/>
      <c r="W37" s="364"/>
      <c r="X37" s="364"/>
      <c r="Y37" s="364"/>
      <c r="Z37" s="364"/>
      <c r="AA37" s="364"/>
      <c r="AB37" s="364"/>
      <c r="AC37" s="364"/>
      <c r="AD37" s="364"/>
      <c r="AE37" s="364"/>
      <c r="AF37" s="364"/>
      <c r="AG37" s="130"/>
      <c r="AH37" s="130"/>
      <c r="AI37" s="365"/>
      <c r="AJ37" s="366"/>
      <c r="AK37" s="130"/>
      <c r="AL37" s="130"/>
      <c r="AM37" s="130"/>
      <c r="AN37" s="136">
        <f t="shared" si="1"/>
        <v>0</v>
      </c>
      <c r="AO37" s="57" t="e">
        <f>((#REF!+#REF!+#REF!+#REF!+#REF!+#REF!+#REF!)*'assessoria- realizado por item'!AN37)-M37-N37</f>
        <v>#REF!</v>
      </c>
      <c r="AP37" s="57" t="e">
        <f>(#REF!*'assessoria- realizado por item'!AN37)-K37</f>
        <v>#REF!</v>
      </c>
      <c r="AQ37" s="57" t="e">
        <f>(#REF!+#REF!+#REF!+#REF!+#REF!+#REF!+#REF!+#REF!+#REF!+#REF!+#REF!+#REF!+#REF!+#REF!+#REF!+#REF!+#REF!+#REF!+#REF!+#REF!)*AN37</f>
        <v>#REF!</v>
      </c>
      <c r="AR37" s="57" t="e">
        <f t="shared" si="8"/>
        <v>#REF!</v>
      </c>
      <c r="AS37" s="57" t="e">
        <f t="shared" si="9"/>
        <v>#REF!</v>
      </c>
      <c r="AT37" s="57" t="e">
        <f t="shared" si="10"/>
        <v>#REF!</v>
      </c>
      <c r="AU37" s="57" t="e">
        <f t="shared" si="11"/>
        <v>#REF!</v>
      </c>
      <c r="AV37" s="57" t="e">
        <f t="shared" si="12"/>
        <v>#REF!</v>
      </c>
      <c r="AW37" s="57" t="e">
        <f t="shared" si="13"/>
        <v>#REF!</v>
      </c>
    </row>
    <row r="38" spans="1:49" x14ac:dyDescent="0.3">
      <c r="A38" s="130"/>
      <c r="B38" s="130"/>
      <c r="C38" s="130"/>
      <c r="D38" s="130"/>
      <c r="E38" s="130"/>
      <c r="F38" s="130"/>
      <c r="G38" s="130"/>
      <c r="H38" s="130"/>
      <c r="I38" s="130"/>
      <c r="J38" s="130"/>
      <c r="K38" s="130"/>
      <c r="L38" s="130"/>
      <c r="M38" s="130"/>
      <c r="N38" s="130"/>
      <c r="O38" s="130"/>
      <c r="P38" s="130"/>
      <c r="Q38" s="364"/>
      <c r="R38" s="364"/>
      <c r="S38" s="364"/>
      <c r="T38" s="364"/>
      <c r="U38" s="364"/>
      <c r="V38" s="364"/>
      <c r="W38" s="364"/>
      <c r="X38" s="364"/>
      <c r="Y38" s="364"/>
      <c r="Z38" s="364"/>
      <c r="AA38" s="364"/>
      <c r="AB38" s="364"/>
      <c r="AC38" s="364"/>
      <c r="AD38" s="364"/>
      <c r="AE38" s="364"/>
      <c r="AF38" s="364"/>
      <c r="AG38" s="130"/>
      <c r="AH38" s="130"/>
      <c r="AI38" s="365"/>
      <c r="AJ38" s="366"/>
      <c r="AK38" s="130"/>
      <c r="AL38" s="130"/>
      <c r="AM38" s="130"/>
      <c r="AN38" s="136">
        <f t="shared" si="1"/>
        <v>0</v>
      </c>
      <c r="AO38" s="57" t="e">
        <f>((#REF!+#REF!+#REF!+#REF!+#REF!+#REF!+#REF!)*'assessoria- realizado por item'!AN38)-M38-N38</f>
        <v>#REF!</v>
      </c>
      <c r="AP38" s="57" t="e">
        <f>(#REF!*'assessoria- realizado por item'!AN38)-K38</f>
        <v>#REF!</v>
      </c>
      <c r="AQ38" s="57" t="e">
        <f>(#REF!+#REF!+#REF!+#REF!+#REF!+#REF!+#REF!+#REF!+#REF!+#REF!+#REF!+#REF!+#REF!+#REF!+#REF!+#REF!+#REF!+#REF!+#REF!+#REF!)*AN38</f>
        <v>#REF!</v>
      </c>
      <c r="AR38" s="57" t="e">
        <f t="shared" si="8"/>
        <v>#REF!</v>
      </c>
      <c r="AS38" s="57" t="e">
        <f t="shared" si="9"/>
        <v>#REF!</v>
      </c>
      <c r="AT38" s="57" t="e">
        <f t="shared" si="10"/>
        <v>#REF!</v>
      </c>
      <c r="AU38" s="57" t="e">
        <f t="shared" si="11"/>
        <v>#REF!</v>
      </c>
      <c r="AV38" s="57" t="e">
        <f t="shared" si="12"/>
        <v>#REF!</v>
      </c>
      <c r="AW38" s="57" t="e">
        <f t="shared" si="13"/>
        <v>#REF!</v>
      </c>
    </row>
    <row r="39" spans="1:49" x14ac:dyDescent="0.3">
      <c r="A39" s="130"/>
      <c r="B39" s="130"/>
      <c r="C39" s="130"/>
      <c r="D39" s="130"/>
      <c r="E39" s="130"/>
      <c r="F39" s="130"/>
      <c r="G39" s="130"/>
      <c r="H39" s="130"/>
      <c r="I39" s="130"/>
      <c r="J39" s="130"/>
      <c r="K39" s="130"/>
      <c r="L39" s="130"/>
      <c r="M39" s="130"/>
      <c r="N39" s="130"/>
      <c r="O39" s="130"/>
      <c r="P39" s="130"/>
      <c r="Q39" s="364"/>
      <c r="R39" s="364"/>
      <c r="S39" s="364"/>
      <c r="T39" s="364"/>
      <c r="U39" s="364"/>
      <c r="V39" s="364"/>
      <c r="W39" s="364"/>
      <c r="X39" s="364"/>
      <c r="Y39" s="364"/>
      <c r="Z39" s="364"/>
      <c r="AA39" s="364"/>
      <c r="AB39" s="364"/>
      <c r="AC39" s="364"/>
      <c r="AD39" s="364"/>
      <c r="AE39" s="364"/>
      <c r="AF39" s="364"/>
      <c r="AG39" s="130"/>
      <c r="AH39" s="130"/>
      <c r="AI39" s="365"/>
      <c r="AJ39" s="366"/>
      <c r="AK39" s="130"/>
      <c r="AL39" s="130"/>
      <c r="AM39" s="130"/>
      <c r="AN39" s="136">
        <f t="shared" si="1"/>
        <v>0</v>
      </c>
      <c r="AO39" s="57" t="e">
        <f>((#REF!+#REF!+#REF!+#REF!+#REF!+#REF!+#REF!)*'assessoria- realizado por item'!AN39)-M39-N39</f>
        <v>#REF!</v>
      </c>
      <c r="AP39" s="57" t="e">
        <f>(#REF!*'assessoria- realizado por item'!AN39)-K39</f>
        <v>#REF!</v>
      </c>
      <c r="AQ39" s="57" t="e">
        <f>(#REF!+#REF!+#REF!+#REF!+#REF!+#REF!+#REF!+#REF!+#REF!+#REF!+#REF!+#REF!+#REF!+#REF!+#REF!+#REF!+#REF!+#REF!+#REF!+#REF!)*AN39</f>
        <v>#REF!</v>
      </c>
      <c r="AR39" s="57" t="e">
        <f t="shared" si="8"/>
        <v>#REF!</v>
      </c>
      <c r="AS39" s="57" t="e">
        <f t="shared" si="9"/>
        <v>#REF!</v>
      </c>
      <c r="AT39" s="57" t="e">
        <f t="shared" si="10"/>
        <v>#REF!</v>
      </c>
      <c r="AU39" s="57" t="e">
        <f t="shared" si="11"/>
        <v>#REF!</v>
      </c>
      <c r="AV39" s="57" t="e">
        <f t="shared" si="12"/>
        <v>#REF!</v>
      </c>
      <c r="AW39" s="57" t="e">
        <f t="shared" si="13"/>
        <v>#REF!</v>
      </c>
    </row>
    <row r="40" spans="1:49" x14ac:dyDescent="0.3">
      <c r="A40" s="130"/>
      <c r="B40" s="130"/>
      <c r="C40" s="130"/>
      <c r="D40" s="130"/>
      <c r="E40" s="130"/>
      <c r="F40" s="130"/>
      <c r="G40" s="130"/>
      <c r="H40" s="130"/>
      <c r="I40" s="130"/>
      <c r="J40" s="130"/>
      <c r="K40" s="130"/>
      <c r="L40" s="130"/>
      <c r="M40" s="130"/>
      <c r="N40" s="130"/>
      <c r="O40" s="130"/>
      <c r="P40" s="130"/>
      <c r="Q40" s="364"/>
      <c r="R40" s="364"/>
      <c r="S40" s="364"/>
      <c r="T40" s="364"/>
      <c r="U40" s="364"/>
      <c r="V40" s="364"/>
      <c r="W40" s="364"/>
      <c r="X40" s="364"/>
      <c r="Y40" s="364"/>
      <c r="Z40" s="364"/>
      <c r="AA40" s="364"/>
      <c r="AB40" s="364"/>
      <c r="AC40" s="364"/>
      <c r="AD40" s="364"/>
      <c r="AE40" s="364"/>
      <c r="AF40" s="364"/>
      <c r="AG40" s="130"/>
      <c r="AH40" s="130"/>
      <c r="AI40" s="365"/>
      <c r="AJ40" s="366"/>
      <c r="AK40" s="130"/>
      <c r="AL40" s="130"/>
      <c r="AM40" s="130"/>
      <c r="AN40" s="136">
        <f t="shared" si="1"/>
        <v>0</v>
      </c>
      <c r="AO40" s="57" t="e">
        <f>((#REF!+#REF!+#REF!+#REF!+#REF!+#REF!+#REF!)*'assessoria- realizado por item'!AN40)-M40-N40</f>
        <v>#REF!</v>
      </c>
      <c r="AP40" s="57" t="e">
        <f>(#REF!*'assessoria- realizado por item'!AN40)-K40</f>
        <v>#REF!</v>
      </c>
      <c r="AQ40" s="57" t="e">
        <f>(#REF!+#REF!+#REF!+#REF!+#REF!+#REF!+#REF!+#REF!+#REF!+#REF!+#REF!+#REF!+#REF!+#REF!+#REF!+#REF!+#REF!+#REF!+#REF!+#REF!)*AN40</f>
        <v>#REF!</v>
      </c>
      <c r="AR40" s="57" t="e">
        <f t="shared" si="8"/>
        <v>#REF!</v>
      </c>
      <c r="AS40" s="57" t="e">
        <f t="shared" si="9"/>
        <v>#REF!</v>
      </c>
      <c r="AT40" s="57" t="e">
        <f t="shared" si="10"/>
        <v>#REF!</v>
      </c>
      <c r="AU40" s="57" t="e">
        <f t="shared" si="11"/>
        <v>#REF!</v>
      </c>
      <c r="AV40" s="57" t="e">
        <f t="shared" si="12"/>
        <v>#REF!</v>
      </c>
      <c r="AW40" s="57" t="e">
        <f t="shared" si="13"/>
        <v>#REF!</v>
      </c>
    </row>
    <row r="41" spans="1:49" x14ac:dyDescent="0.3">
      <c r="A41" s="130"/>
      <c r="B41" s="130"/>
      <c r="C41" s="130"/>
      <c r="D41" s="130"/>
      <c r="E41" s="130"/>
      <c r="F41" s="130"/>
      <c r="G41" s="130"/>
      <c r="H41" s="130"/>
      <c r="I41" s="130"/>
      <c r="J41" s="130"/>
      <c r="K41" s="130"/>
      <c r="L41" s="130"/>
      <c r="M41" s="130"/>
      <c r="N41" s="130"/>
      <c r="O41" s="130"/>
      <c r="P41" s="130"/>
      <c r="Q41" s="364"/>
      <c r="R41" s="364"/>
      <c r="S41" s="364"/>
      <c r="T41" s="364"/>
      <c r="U41" s="364"/>
      <c r="V41" s="364"/>
      <c r="W41" s="364"/>
      <c r="X41" s="364"/>
      <c r="Y41" s="364"/>
      <c r="Z41" s="364"/>
      <c r="AA41" s="364"/>
      <c r="AB41" s="364"/>
      <c r="AC41" s="364"/>
      <c r="AD41" s="364"/>
      <c r="AE41" s="364"/>
      <c r="AF41" s="364"/>
      <c r="AG41" s="130"/>
      <c r="AH41" s="130"/>
      <c r="AI41" s="365"/>
      <c r="AJ41" s="366"/>
      <c r="AK41" s="130"/>
      <c r="AL41" s="130"/>
      <c r="AM41" s="130"/>
      <c r="AN41" s="136">
        <f t="shared" si="1"/>
        <v>0</v>
      </c>
      <c r="AO41" s="57" t="e">
        <f>((#REF!+#REF!+#REF!+#REF!+#REF!+#REF!+#REF!)*'assessoria- realizado por item'!AN41)-M41-N41</f>
        <v>#REF!</v>
      </c>
      <c r="AP41" s="57" t="e">
        <f>(#REF!*'assessoria- realizado por item'!AN41)-K41</f>
        <v>#REF!</v>
      </c>
      <c r="AQ41" s="57" t="e">
        <f>(#REF!+#REF!+#REF!+#REF!+#REF!+#REF!+#REF!+#REF!+#REF!+#REF!+#REF!+#REF!+#REF!+#REF!+#REF!+#REF!+#REF!+#REF!+#REF!+#REF!)*AN41</f>
        <v>#REF!</v>
      </c>
      <c r="AR41" s="57" t="e">
        <f t="shared" si="8"/>
        <v>#REF!</v>
      </c>
      <c r="AS41" s="57" t="e">
        <f t="shared" si="9"/>
        <v>#REF!</v>
      </c>
      <c r="AT41" s="57" t="e">
        <f t="shared" si="10"/>
        <v>#REF!</v>
      </c>
      <c r="AU41" s="57" t="e">
        <f t="shared" si="11"/>
        <v>#REF!</v>
      </c>
      <c r="AV41" s="57" t="e">
        <f t="shared" si="12"/>
        <v>#REF!</v>
      </c>
      <c r="AW41" s="57" t="e">
        <f t="shared" si="13"/>
        <v>#REF!</v>
      </c>
    </row>
    <row r="42" spans="1:49" x14ac:dyDescent="0.3">
      <c r="A42" s="130"/>
      <c r="B42" s="130"/>
      <c r="C42" s="130"/>
      <c r="D42" s="130"/>
      <c r="E42" s="130"/>
      <c r="F42" s="130"/>
      <c r="G42" s="130"/>
      <c r="H42" s="130"/>
      <c r="I42" s="130"/>
      <c r="J42" s="130"/>
      <c r="K42" s="130"/>
      <c r="L42" s="130"/>
      <c r="M42" s="130"/>
      <c r="N42" s="130"/>
      <c r="O42" s="130"/>
      <c r="P42" s="130"/>
      <c r="Q42" s="364"/>
      <c r="R42" s="364"/>
      <c r="S42" s="364"/>
      <c r="T42" s="364"/>
      <c r="U42" s="364"/>
      <c r="V42" s="364"/>
      <c r="W42" s="364"/>
      <c r="X42" s="364"/>
      <c r="Y42" s="364"/>
      <c r="Z42" s="364"/>
      <c r="AA42" s="364"/>
      <c r="AB42" s="364"/>
      <c r="AC42" s="364"/>
      <c r="AD42" s="364"/>
      <c r="AE42" s="364"/>
      <c r="AF42" s="364"/>
      <c r="AG42" s="130"/>
      <c r="AH42" s="130"/>
      <c r="AI42" s="365"/>
      <c r="AJ42" s="366"/>
      <c r="AK42" s="130"/>
      <c r="AL42" s="130"/>
      <c r="AM42" s="130"/>
      <c r="AN42" s="136">
        <f t="shared" si="1"/>
        <v>0</v>
      </c>
      <c r="AO42" s="57" t="e">
        <f>((#REF!+#REF!+#REF!+#REF!+#REF!+#REF!+#REF!)*'assessoria- realizado por item'!AN42)-M42-N42</f>
        <v>#REF!</v>
      </c>
      <c r="AP42" s="57" t="e">
        <f>(#REF!*'assessoria- realizado por item'!AN42)-K42</f>
        <v>#REF!</v>
      </c>
      <c r="AQ42" s="57" t="e">
        <f>(#REF!+#REF!+#REF!+#REF!+#REF!+#REF!+#REF!+#REF!+#REF!+#REF!+#REF!+#REF!+#REF!+#REF!+#REF!+#REF!+#REF!+#REF!+#REF!+#REF!)*AN42</f>
        <v>#REF!</v>
      </c>
      <c r="AR42" s="57" t="e">
        <f t="shared" si="8"/>
        <v>#REF!</v>
      </c>
      <c r="AS42" s="57" t="e">
        <f t="shared" si="9"/>
        <v>#REF!</v>
      </c>
      <c r="AT42" s="57" t="e">
        <f t="shared" si="10"/>
        <v>#REF!</v>
      </c>
      <c r="AU42" s="57" t="e">
        <f t="shared" si="11"/>
        <v>#REF!</v>
      </c>
      <c r="AV42" s="57" t="e">
        <f t="shared" si="12"/>
        <v>#REF!</v>
      </c>
      <c r="AW42" s="57" t="e">
        <f t="shared" si="13"/>
        <v>#REF!</v>
      </c>
    </row>
    <row r="43" spans="1:49" x14ac:dyDescent="0.3">
      <c r="A43" s="130"/>
      <c r="B43" s="130"/>
      <c r="C43" s="130"/>
      <c r="D43" s="130"/>
      <c r="E43" s="130"/>
      <c r="F43" s="130"/>
      <c r="G43" s="130"/>
      <c r="H43" s="130"/>
      <c r="I43" s="130"/>
      <c r="J43" s="130"/>
      <c r="K43" s="130"/>
      <c r="L43" s="130"/>
      <c r="M43" s="130"/>
      <c r="N43" s="130"/>
      <c r="O43" s="130"/>
      <c r="P43" s="130"/>
      <c r="Q43" s="364"/>
      <c r="R43" s="364"/>
      <c r="S43" s="364"/>
      <c r="T43" s="364"/>
      <c r="U43" s="364"/>
      <c r="V43" s="364"/>
      <c r="W43" s="364"/>
      <c r="X43" s="364"/>
      <c r="Y43" s="364"/>
      <c r="Z43" s="364"/>
      <c r="AA43" s="364"/>
      <c r="AB43" s="364"/>
      <c r="AC43" s="364"/>
      <c r="AD43" s="364"/>
      <c r="AE43" s="364"/>
      <c r="AF43" s="364"/>
      <c r="AG43" s="130"/>
      <c r="AH43" s="130"/>
      <c r="AI43" s="365"/>
      <c r="AJ43" s="366"/>
      <c r="AK43" s="130"/>
      <c r="AL43" s="130"/>
      <c r="AM43" s="130"/>
      <c r="AN43" s="136">
        <f t="shared" si="1"/>
        <v>0</v>
      </c>
      <c r="AO43" s="57" t="e">
        <f>((#REF!+#REF!+#REF!+#REF!+#REF!+#REF!+#REF!)*'assessoria- realizado por item'!AN43)-M43-N43</f>
        <v>#REF!</v>
      </c>
      <c r="AP43" s="57" t="e">
        <f>(#REF!*'assessoria- realizado por item'!AN43)-K43</f>
        <v>#REF!</v>
      </c>
      <c r="AQ43" s="57" t="e">
        <f>(#REF!+#REF!+#REF!+#REF!+#REF!+#REF!+#REF!+#REF!+#REF!+#REF!+#REF!+#REF!+#REF!+#REF!+#REF!+#REF!+#REF!+#REF!+#REF!+#REF!)*AN43</f>
        <v>#REF!</v>
      </c>
      <c r="AR43" s="57" t="e">
        <f t="shared" si="8"/>
        <v>#REF!</v>
      </c>
      <c r="AS43" s="57" t="e">
        <f t="shared" si="9"/>
        <v>#REF!</v>
      </c>
      <c r="AT43" s="57" t="e">
        <f t="shared" si="10"/>
        <v>#REF!</v>
      </c>
      <c r="AU43" s="57" t="e">
        <f t="shared" si="11"/>
        <v>#REF!</v>
      </c>
      <c r="AV43" s="57" t="e">
        <f t="shared" si="12"/>
        <v>#REF!</v>
      </c>
      <c r="AW43" s="57" t="e">
        <f t="shared" si="13"/>
        <v>#REF!</v>
      </c>
    </row>
    <row r="44" spans="1:49" x14ac:dyDescent="0.3">
      <c r="A44" s="130"/>
      <c r="B44" s="130"/>
      <c r="C44" s="130"/>
      <c r="D44" s="130"/>
      <c r="E44" s="130"/>
      <c r="F44" s="130"/>
      <c r="G44" s="130"/>
      <c r="H44" s="130"/>
      <c r="I44" s="130"/>
      <c r="J44" s="130"/>
      <c r="K44" s="130"/>
      <c r="L44" s="130"/>
      <c r="M44" s="130"/>
      <c r="N44" s="130"/>
      <c r="O44" s="130"/>
      <c r="P44" s="130"/>
      <c r="Q44" s="364"/>
      <c r="R44" s="364"/>
      <c r="S44" s="364"/>
      <c r="T44" s="364"/>
      <c r="U44" s="364"/>
      <c r="V44" s="364"/>
      <c r="W44" s="364"/>
      <c r="X44" s="364"/>
      <c r="Y44" s="364"/>
      <c r="Z44" s="364"/>
      <c r="AA44" s="364"/>
      <c r="AB44" s="364"/>
      <c r="AC44" s="364"/>
      <c r="AD44" s="364"/>
      <c r="AE44" s="364"/>
      <c r="AF44" s="364"/>
      <c r="AG44" s="130"/>
      <c r="AH44" s="130"/>
      <c r="AI44" s="365"/>
      <c r="AJ44" s="366"/>
      <c r="AK44" s="130"/>
      <c r="AL44" s="130"/>
      <c r="AM44" s="130"/>
      <c r="AN44" s="136">
        <f t="shared" si="1"/>
        <v>0</v>
      </c>
      <c r="AO44" s="57" t="e">
        <f>((#REF!+#REF!+#REF!+#REF!+#REF!+#REF!+#REF!)*'assessoria- realizado por item'!AN44)-M44-N44</f>
        <v>#REF!</v>
      </c>
      <c r="AP44" s="57" t="e">
        <f>(#REF!*'assessoria- realizado por item'!AN44)-K44</f>
        <v>#REF!</v>
      </c>
      <c r="AQ44" s="57" t="e">
        <f>(#REF!+#REF!+#REF!+#REF!+#REF!+#REF!+#REF!+#REF!+#REF!+#REF!+#REF!+#REF!+#REF!+#REF!+#REF!+#REF!+#REF!+#REF!+#REF!+#REF!)*AN44</f>
        <v>#REF!</v>
      </c>
      <c r="AR44" s="57" t="e">
        <f t="shared" si="8"/>
        <v>#REF!</v>
      </c>
      <c r="AS44" s="57" t="e">
        <f t="shared" si="9"/>
        <v>#REF!</v>
      </c>
      <c r="AT44" s="57" t="e">
        <f t="shared" si="10"/>
        <v>#REF!</v>
      </c>
      <c r="AU44" s="57" t="e">
        <f t="shared" si="11"/>
        <v>#REF!</v>
      </c>
      <c r="AV44" s="57" t="e">
        <f t="shared" si="12"/>
        <v>#REF!</v>
      </c>
      <c r="AW44" s="57" t="e">
        <f t="shared" si="13"/>
        <v>#REF!</v>
      </c>
    </row>
    <row r="45" spans="1:49" x14ac:dyDescent="0.3">
      <c r="A45" s="130"/>
      <c r="B45" s="130"/>
      <c r="C45" s="130"/>
      <c r="D45" s="130"/>
      <c r="E45" s="130"/>
      <c r="F45" s="130"/>
      <c r="G45" s="130"/>
      <c r="H45" s="130"/>
      <c r="I45" s="130"/>
      <c r="J45" s="130"/>
      <c r="K45" s="130"/>
      <c r="L45" s="130"/>
      <c r="M45" s="130"/>
      <c r="N45" s="130"/>
      <c r="O45" s="130"/>
      <c r="P45" s="130"/>
      <c r="Q45" s="364"/>
      <c r="R45" s="364"/>
      <c r="S45" s="364"/>
      <c r="T45" s="364"/>
      <c r="U45" s="364"/>
      <c r="V45" s="364"/>
      <c r="W45" s="364"/>
      <c r="X45" s="364"/>
      <c r="Y45" s="364"/>
      <c r="Z45" s="364"/>
      <c r="AA45" s="364"/>
      <c r="AB45" s="364"/>
      <c r="AC45" s="364"/>
      <c r="AD45" s="364"/>
      <c r="AE45" s="364"/>
      <c r="AF45" s="364"/>
      <c r="AG45" s="130"/>
      <c r="AH45" s="130"/>
      <c r="AI45" s="365"/>
      <c r="AJ45" s="366"/>
      <c r="AK45" s="130"/>
      <c r="AL45" s="130"/>
      <c r="AM45" s="130"/>
      <c r="AN45" s="136">
        <f t="shared" si="1"/>
        <v>0</v>
      </c>
      <c r="AO45" s="57" t="e">
        <f>((#REF!+#REF!+#REF!+#REF!+#REF!+#REF!+#REF!)*'assessoria- realizado por item'!AN45)-M45-N45</f>
        <v>#REF!</v>
      </c>
      <c r="AP45" s="57" t="e">
        <f>(#REF!*'assessoria- realizado por item'!AN45)-K45</f>
        <v>#REF!</v>
      </c>
      <c r="AQ45" s="57" t="e">
        <f>(#REF!+#REF!+#REF!+#REF!+#REF!+#REF!+#REF!+#REF!+#REF!+#REF!+#REF!+#REF!+#REF!+#REF!+#REF!+#REF!+#REF!+#REF!+#REF!+#REF!)*AN45</f>
        <v>#REF!</v>
      </c>
      <c r="AR45" s="57" t="e">
        <f t="shared" si="8"/>
        <v>#REF!</v>
      </c>
      <c r="AS45" s="57" t="e">
        <f t="shared" si="9"/>
        <v>#REF!</v>
      </c>
      <c r="AT45" s="57" t="e">
        <f t="shared" si="10"/>
        <v>#REF!</v>
      </c>
      <c r="AU45" s="57" t="e">
        <f t="shared" si="11"/>
        <v>#REF!</v>
      </c>
      <c r="AV45" s="57" t="e">
        <f t="shared" si="12"/>
        <v>#REF!</v>
      </c>
      <c r="AW45" s="57" t="e">
        <f t="shared" si="13"/>
        <v>#REF!</v>
      </c>
    </row>
    <row r="46" spans="1:49" x14ac:dyDescent="0.3">
      <c r="A46" s="130"/>
      <c r="B46" s="130"/>
      <c r="C46" s="130"/>
      <c r="D46" s="130"/>
      <c r="E46" s="130"/>
      <c r="F46" s="130"/>
      <c r="G46" s="130"/>
      <c r="H46" s="130"/>
      <c r="I46" s="130"/>
      <c r="J46" s="130"/>
      <c r="K46" s="130"/>
      <c r="L46" s="130"/>
      <c r="M46" s="130"/>
      <c r="N46" s="130"/>
      <c r="O46" s="130"/>
      <c r="P46" s="130"/>
      <c r="Q46" s="364"/>
      <c r="R46" s="364"/>
      <c r="S46" s="364"/>
      <c r="T46" s="364"/>
      <c r="U46" s="364"/>
      <c r="V46" s="364"/>
      <c r="W46" s="364"/>
      <c r="X46" s="364"/>
      <c r="Y46" s="364"/>
      <c r="Z46" s="364"/>
      <c r="AA46" s="364"/>
      <c r="AB46" s="364"/>
      <c r="AC46" s="364"/>
      <c r="AD46" s="364"/>
      <c r="AE46" s="364"/>
      <c r="AF46" s="364"/>
      <c r="AG46" s="130"/>
      <c r="AH46" s="130"/>
      <c r="AI46" s="365"/>
      <c r="AJ46" s="366"/>
      <c r="AK46" s="130"/>
      <c r="AL46" s="130"/>
      <c r="AM46" s="130"/>
      <c r="AN46" s="136">
        <f t="shared" si="1"/>
        <v>0</v>
      </c>
      <c r="AO46" s="57" t="e">
        <f>((#REF!+#REF!+#REF!+#REF!+#REF!+#REF!+#REF!)*'assessoria- realizado por item'!AN46)-M46-N46</f>
        <v>#REF!</v>
      </c>
      <c r="AP46" s="57" t="e">
        <f>(#REF!*'assessoria- realizado por item'!AN46)-K46</f>
        <v>#REF!</v>
      </c>
      <c r="AQ46" s="57" t="e">
        <f>(#REF!+#REF!+#REF!+#REF!+#REF!+#REF!+#REF!+#REF!+#REF!+#REF!+#REF!+#REF!+#REF!+#REF!+#REF!+#REF!+#REF!+#REF!+#REF!+#REF!)*AN46</f>
        <v>#REF!</v>
      </c>
      <c r="AR46" s="57" t="e">
        <f t="shared" si="8"/>
        <v>#REF!</v>
      </c>
      <c r="AS46" s="57" t="e">
        <f t="shared" si="9"/>
        <v>#REF!</v>
      </c>
      <c r="AT46" s="57" t="e">
        <f t="shared" si="10"/>
        <v>#REF!</v>
      </c>
      <c r="AU46" s="57" t="e">
        <f t="shared" si="11"/>
        <v>#REF!</v>
      </c>
      <c r="AV46" s="57" t="e">
        <f t="shared" si="12"/>
        <v>#REF!</v>
      </c>
      <c r="AW46" s="57" t="e">
        <f t="shared" si="13"/>
        <v>#REF!</v>
      </c>
    </row>
    <row r="47" spans="1:49" x14ac:dyDescent="0.3">
      <c r="A47" s="130"/>
      <c r="B47" s="130"/>
      <c r="C47" s="130"/>
      <c r="D47" s="130"/>
      <c r="E47" s="130"/>
      <c r="F47" s="130"/>
      <c r="G47" s="130"/>
      <c r="H47" s="130"/>
      <c r="I47" s="130"/>
      <c r="J47" s="130"/>
      <c r="K47" s="130"/>
      <c r="L47" s="130"/>
      <c r="M47" s="130"/>
      <c r="N47" s="130"/>
      <c r="O47" s="130"/>
      <c r="P47" s="130"/>
      <c r="Q47" s="364"/>
      <c r="R47" s="364"/>
      <c r="S47" s="364"/>
      <c r="T47" s="364"/>
      <c r="U47" s="364"/>
      <c r="V47" s="364"/>
      <c r="W47" s="364"/>
      <c r="X47" s="364"/>
      <c r="Y47" s="364"/>
      <c r="Z47" s="364"/>
      <c r="AA47" s="364"/>
      <c r="AB47" s="364"/>
      <c r="AC47" s="364"/>
      <c r="AD47" s="364"/>
      <c r="AE47" s="364"/>
      <c r="AF47" s="364"/>
      <c r="AG47" s="130"/>
      <c r="AH47" s="130"/>
      <c r="AI47" s="365"/>
      <c r="AJ47" s="366"/>
      <c r="AK47" s="130"/>
      <c r="AL47" s="130"/>
      <c r="AM47" s="130"/>
      <c r="AN47" s="136">
        <f t="shared" si="1"/>
        <v>0</v>
      </c>
      <c r="AO47" s="57" t="e">
        <f>((#REF!+#REF!+#REF!+#REF!+#REF!+#REF!+#REF!)*'assessoria- realizado por item'!AN47)-M47-N47</f>
        <v>#REF!</v>
      </c>
      <c r="AP47" s="57" t="e">
        <f>(#REF!*'assessoria- realizado por item'!AN47)-K47</f>
        <v>#REF!</v>
      </c>
      <c r="AQ47" s="57" t="e">
        <f>(#REF!+#REF!+#REF!+#REF!+#REF!+#REF!+#REF!+#REF!+#REF!+#REF!+#REF!+#REF!+#REF!+#REF!+#REF!+#REF!+#REF!+#REF!+#REF!+#REF!)*AN47</f>
        <v>#REF!</v>
      </c>
      <c r="AR47" s="57" t="e">
        <f t="shared" si="8"/>
        <v>#REF!</v>
      </c>
      <c r="AS47" s="57" t="e">
        <f t="shared" si="9"/>
        <v>#REF!</v>
      </c>
      <c r="AT47" s="57" t="e">
        <f t="shared" si="10"/>
        <v>#REF!</v>
      </c>
      <c r="AU47" s="57" t="e">
        <f t="shared" si="11"/>
        <v>#REF!</v>
      </c>
      <c r="AV47" s="57" t="e">
        <f t="shared" si="12"/>
        <v>#REF!</v>
      </c>
      <c r="AW47" s="57" t="e">
        <f t="shared" si="13"/>
        <v>#REF!</v>
      </c>
    </row>
    <row r="48" spans="1:49" x14ac:dyDescent="0.3">
      <c r="A48" s="130"/>
      <c r="B48" s="130"/>
      <c r="C48" s="130"/>
      <c r="D48" s="130"/>
      <c r="E48" s="130"/>
      <c r="F48" s="130"/>
      <c r="G48" s="130"/>
      <c r="H48" s="130"/>
      <c r="I48" s="130"/>
      <c r="J48" s="130"/>
      <c r="K48" s="130"/>
      <c r="L48" s="130"/>
      <c r="M48" s="130"/>
      <c r="N48" s="130"/>
      <c r="O48" s="130"/>
      <c r="P48" s="130"/>
      <c r="Q48" s="364"/>
      <c r="R48" s="364"/>
      <c r="S48" s="364"/>
      <c r="T48" s="364"/>
      <c r="U48" s="364"/>
      <c r="V48" s="364"/>
      <c r="W48" s="364"/>
      <c r="X48" s="364"/>
      <c r="Y48" s="364"/>
      <c r="Z48" s="364"/>
      <c r="AA48" s="364"/>
      <c r="AB48" s="364"/>
      <c r="AC48" s="364"/>
      <c r="AD48" s="364"/>
      <c r="AE48" s="364"/>
      <c r="AF48" s="364"/>
      <c r="AG48" s="130"/>
      <c r="AH48" s="130"/>
      <c r="AI48" s="365"/>
      <c r="AJ48" s="366"/>
      <c r="AK48" s="130"/>
      <c r="AL48" s="130"/>
      <c r="AM48" s="130"/>
      <c r="AN48" s="136">
        <f t="shared" si="1"/>
        <v>0</v>
      </c>
      <c r="AO48" s="57" t="e">
        <f>((#REF!+#REF!+#REF!+#REF!+#REF!+#REF!+#REF!)*'assessoria- realizado por item'!AN48)-M48-N48</f>
        <v>#REF!</v>
      </c>
      <c r="AP48" s="57" t="e">
        <f>(#REF!*'assessoria- realizado por item'!AN48)-K48</f>
        <v>#REF!</v>
      </c>
      <c r="AQ48" s="57" t="e">
        <f>(#REF!+#REF!+#REF!+#REF!+#REF!+#REF!+#REF!+#REF!+#REF!+#REF!+#REF!+#REF!+#REF!+#REF!+#REF!+#REF!+#REF!+#REF!+#REF!+#REF!)*AN48</f>
        <v>#REF!</v>
      </c>
      <c r="AR48" s="57" t="e">
        <f t="shared" si="8"/>
        <v>#REF!</v>
      </c>
      <c r="AS48" s="57" t="e">
        <f t="shared" si="9"/>
        <v>#REF!</v>
      </c>
      <c r="AT48" s="57" t="e">
        <f t="shared" si="10"/>
        <v>#REF!</v>
      </c>
      <c r="AU48" s="57" t="e">
        <f t="shared" si="11"/>
        <v>#REF!</v>
      </c>
      <c r="AV48" s="57" t="e">
        <f t="shared" si="12"/>
        <v>#REF!</v>
      </c>
      <c r="AW48" s="57" t="e">
        <f t="shared" si="13"/>
        <v>#REF!</v>
      </c>
    </row>
    <row r="49" spans="1:49" x14ac:dyDescent="0.3">
      <c r="A49" s="130"/>
      <c r="B49" s="130"/>
      <c r="C49" s="130"/>
      <c r="D49" s="130"/>
      <c r="E49" s="130"/>
      <c r="F49" s="130"/>
      <c r="G49" s="130"/>
      <c r="H49" s="130"/>
      <c r="I49" s="130"/>
      <c r="J49" s="130"/>
      <c r="K49" s="130"/>
      <c r="L49" s="130"/>
      <c r="M49" s="130"/>
      <c r="N49" s="130"/>
      <c r="O49" s="130"/>
      <c r="P49" s="130"/>
      <c r="Q49" s="364"/>
      <c r="R49" s="364"/>
      <c r="S49" s="364"/>
      <c r="T49" s="364"/>
      <c r="U49" s="364"/>
      <c r="V49" s="364"/>
      <c r="W49" s="364"/>
      <c r="X49" s="364"/>
      <c r="Y49" s="364"/>
      <c r="Z49" s="364"/>
      <c r="AA49" s="364"/>
      <c r="AB49" s="364"/>
      <c r="AC49" s="364"/>
      <c r="AD49" s="364"/>
      <c r="AE49" s="364"/>
      <c r="AF49" s="364"/>
      <c r="AG49" s="130"/>
      <c r="AH49" s="130"/>
      <c r="AI49" s="365"/>
      <c r="AJ49" s="366"/>
      <c r="AK49" s="130"/>
      <c r="AL49" s="130"/>
      <c r="AM49" s="130"/>
      <c r="AN49" s="136">
        <f t="shared" si="1"/>
        <v>0</v>
      </c>
      <c r="AO49" s="57" t="e">
        <f>((#REF!+#REF!+#REF!+#REF!+#REF!+#REF!+#REF!)*'assessoria- realizado por item'!AN49)-M49-N49</f>
        <v>#REF!</v>
      </c>
      <c r="AP49" s="57" t="e">
        <f>(#REF!*'assessoria- realizado por item'!AN49)-K49</f>
        <v>#REF!</v>
      </c>
      <c r="AQ49" s="57" t="e">
        <f>(#REF!+#REF!+#REF!+#REF!+#REF!+#REF!+#REF!+#REF!+#REF!+#REF!+#REF!+#REF!+#REF!+#REF!+#REF!+#REF!+#REF!+#REF!+#REF!+#REF!)*AN49</f>
        <v>#REF!</v>
      </c>
      <c r="AR49" s="57" t="e">
        <f t="shared" si="8"/>
        <v>#REF!</v>
      </c>
      <c r="AS49" s="57" t="e">
        <f t="shared" si="9"/>
        <v>#REF!</v>
      </c>
      <c r="AT49" s="57" t="e">
        <f t="shared" si="10"/>
        <v>#REF!</v>
      </c>
      <c r="AU49" s="57" t="e">
        <f t="shared" si="11"/>
        <v>#REF!</v>
      </c>
      <c r="AV49" s="57" t="e">
        <f t="shared" si="12"/>
        <v>#REF!</v>
      </c>
      <c r="AW49" s="57" t="e">
        <f t="shared" si="13"/>
        <v>#REF!</v>
      </c>
    </row>
    <row r="50" spans="1:49" x14ac:dyDescent="0.3">
      <c r="A50" s="130"/>
      <c r="B50" s="130"/>
      <c r="C50" s="130"/>
      <c r="D50" s="130"/>
      <c r="E50" s="130"/>
      <c r="F50" s="130"/>
      <c r="G50" s="130"/>
      <c r="H50" s="130"/>
      <c r="I50" s="130"/>
      <c r="J50" s="130"/>
      <c r="K50" s="130"/>
      <c r="L50" s="130"/>
      <c r="M50" s="130"/>
      <c r="N50" s="130"/>
      <c r="O50" s="130"/>
      <c r="P50" s="130"/>
      <c r="Q50" s="364"/>
      <c r="R50" s="364"/>
      <c r="S50" s="364"/>
      <c r="T50" s="364"/>
      <c r="U50" s="364"/>
      <c r="V50" s="364"/>
      <c r="W50" s="364"/>
      <c r="X50" s="364"/>
      <c r="Y50" s="364"/>
      <c r="Z50" s="364"/>
      <c r="AA50" s="364"/>
      <c r="AB50" s="364"/>
      <c r="AC50" s="364"/>
      <c r="AD50" s="364"/>
      <c r="AE50" s="364"/>
      <c r="AF50" s="364"/>
      <c r="AG50" s="130"/>
      <c r="AH50" s="130"/>
      <c r="AI50" s="365"/>
      <c r="AJ50" s="366"/>
      <c r="AK50" s="130"/>
      <c r="AL50" s="130"/>
      <c r="AM50" s="130"/>
      <c r="AN50" s="136">
        <f t="shared" si="1"/>
        <v>0</v>
      </c>
      <c r="AO50" s="57" t="e">
        <f>((#REF!+#REF!+#REF!+#REF!+#REF!+#REF!+#REF!)*'assessoria- realizado por item'!AN50)-M50-N50</f>
        <v>#REF!</v>
      </c>
      <c r="AP50" s="57" t="e">
        <f>(#REF!*'assessoria- realizado por item'!AN50)-K50</f>
        <v>#REF!</v>
      </c>
      <c r="AQ50" s="57" t="e">
        <f>(#REF!+#REF!+#REF!+#REF!+#REF!+#REF!+#REF!+#REF!+#REF!+#REF!+#REF!+#REF!+#REF!+#REF!+#REF!+#REF!+#REF!+#REF!+#REF!+#REF!)*AN50</f>
        <v>#REF!</v>
      </c>
      <c r="AR50" s="57" t="e">
        <f t="shared" si="8"/>
        <v>#REF!</v>
      </c>
      <c r="AS50" s="57" t="e">
        <f t="shared" si="9"/>
        <v>#REF!</v>
      </c>
      <c r="AT50" s="57" t="e">
        <f t="shared" si="10"/>
        <v>#REF!</v>
      </c>
      <c r="AU50" s="57" t="e">
        <f t="shared" si="11"/>
        <v>#REF!</v>
      </c>
      <c r="AV50" s="57" t="e">
        <f t="shared" si="12"/>
        <v>#REF!</v>
      </c>
      <c r="AW50" s="57" t="e">
        <f t="shared" si="13"/>
        <v>#REF!</v>
      </c>
    </row>
    <row r="51" spans="1:49" x14ac:dyDescent="0.3">
      <c r="A51" s="130"/>
      <c r="B51" s="130"/>
      <c r="C51" s="130"/>
      <c r="D51" s="130"/>
      <c r="E51" s="130"/>
      <c r="F51" s="130"/>
      <c r="G51" s="130"/>
      <c r="H51" s="130"/>
      <c r="I51" s="130"/>
      <c r="J51" s="130"/>
      <c r="K51" s="130"/>
      <c r="L51" s="130"/>
      <c r="M51" s="130"/>
      <c r="N51" s="130"/>
      <c r="O51" s="130"/>
      <c r="P51" s="130"/>
      <c r="Q51" s="364"/>
      <c r="R51" s="364"/>
      <c r="S51" s="364"/>
      <c r="T51" s="364"/>
      <c r="U51" s="364"/>
      <c r="V51" s="364"/>
      <c r="W51" s="364"/>
      <c r="X51" s="364"/>
      <c r="Y51" s="364"/>
      <c r="Z51" s="364"/>
      <c r="AA51" s="364"/>
      <c r="AB51" s="364"/>
      <c r="AC51" s="364"/>
      <c r="AD51" s="364"/>
      <c r="AE51" s="364"/>
      <c r="AF51" s="364"/>
      <c r="AG51" s="130"/>
      <c r="AH51" s="130"/>
      <c r="AI51" s="365"/>
      <c r="AJ51" s="366"/>
      <c r="AK51" s="130"/>
      <c r="AL51" s="130"/>
      <c r="AM51" s="130"/>
      <c r="AN51" s="136">
        <f t="shared" si="1"/>
        <v>0</v>
      </c>
      <c r="AO51" s="57" t="e">
        <f>((#REF!+#REF!+#REF!+#REF!+#REF!+#REF!+#REF!)*'assessoria- realizado por item'!AN51)-M51-N51</f>
        <v>#REF!</v>
      </c>
      <c r="AP51" s="57" t="e">
        <f>(#REF!*'assessoria- realizado por item'!AN51)-K51</f>
        <v>#REF!</v>
      </c>
      <c r="AQ51" s="57" t="e">
        <f>(#REF!+#REF!+#REF!+#REF!+#REF!+#REF!+#REF!+#REF!+#REF!+#REF!+#REF!+#REF!+#REF!+#REF!+#REF!+#REF!+#REF!+#REF!+#REF!+#REF!)*AN51</f>
        <v>#REF!</v>
      </c>
      <c r="AR51" s="57" t="e">
        <f t="shared" si="8"/>
        <v>#REF!</v>
      </c>
      <c r="AS51" s="57" t="e">
        <f t="shared" si="9"/>
        <v>#REF!</v>
      </c>
      <c r="AT51" s="57" t="e">
        <f t="shared" si="10"/>
        <v>#REF!</v>
      </c>
      <c r="AU51" s="57" t="e">
        <f t="shared" si="11"/>
        <v>#REF!</v>
      </c>
      <c r="AV51" s="57" t="e">
        <f t="shared" si="12"/>
        <v>#REF!</v>
      </c>
      <c r="AW51" s="57" t="e">
        <f t="shared" si="13"/>
        <v>#REF!</v>
      </c>
    </row>
    <row r="52" spans="1:49" x14ac:dyDescent="0.3">
      <c r="A52" s="130"/>
      <c r="B52" s="130"/>
      <c r="C52" s="130"/>
      <c r="D52" s="130"/>
      <c r="E52" s="130"/>
      <c r="F52" s="130"/>
      <c r="G52" s="130"/>
      <c r="H52" s="130"/>
      <c r="I52" s="130"/>
      <c r="J52" s="130"/>
      <c r="K52" s="130"/>
      <c r="L52" s="130"/>
      <c r="M52" s="130"/>
      <c r="N52" s="130"/>
      <c r="O52" s="130"/>
      <c r="P52" s="130"/>
      <c r="Q52" s="364"/>
      <c r="R52" s="364"/>
      <c r="S52" s="364"/>
      <c r="T52" s="364"/>
      <c r="U52" s="364"/>
      <c r="V52" s="364"/>
      <c r="W52" s="364"/>
      <c r="X52" s="364"/>
      <c r="Y52" s="364"/>
      <c r="Z52" s="364"/>
      <c r="AA52" s="364"/>
      <c r="AB52" s="364"/>
      <c r="AC52" s="364"/>
      <c r="AD52" s="364"/>
      <c r="AE52" s="364"/>
      <c r="AF52" s="364"/>
      <c r="AG52" s="130"/>
      <c r="AH52" s="130"/>
      <c r="AI52" s="365"/>
      <c r="AJ52" s="366"/>
      <c r="AK52" s="130"/>
      <c r="AL52" s="130"/>
      <c r="AM52" s="130"/>
      <c r="AN52" s="136">
        <f t="shared" si="1"/>
        <v>0</v>
      </c>
      <c r="AO52" s="57" t="e">
        <f>((#REF!+#REF!+#REF!+#REF!+#REF!+#REF!+#REF!)*'assessoria- realizado por item'!AN52)-M52-N52</f>
        <v>#REF!</v>
      </c>
      <c r="AP52" s="57" t="e">
        <f>(#REF!*'assessoria- realizado por item'!AN52)-K52</f>
        <v>#REF!</v>
      </c>
      <c r="AQ52" s="57" t="e">
        <f>(#REF!+#REF!+#REF!+#REF!+#REF!+#REF!+#REF!+#REF!+#REF!+#REF!+#REF!+#REF!+#REF!+#REF!+#REF!+#REF!+#REF!+#REF!+#REF!+#REF!)*AN52</f>
        <v>#REF!</v>
      </c>
      <c r="AR52" s="57" t="e">
        <f t="shared" si="8"/>
        <v>#REF!</v>
      </c>
      <c r="AS52" s="57" t="e">
        <f t="shared" si="9"/>
        <v>#REF!</v>
      </c>
      <c r="AT52" s="57" t="e">
        <f t="shared" si="10"/>
        <v>#REF!</v>
      </c>
      <c r="AU52" s="57" t="e">
        <f t="shared" si="11"/>
        <v>#REF!</v>
      </c>
      <c r="AV52" s="57" t="e">
        <f t="shared" si="12"/>
        <v>#REF!</v>
      </c>
      <c r="AW52" s="57" t="e">
        <f t="shared" si="13"/>
        <v>#REF!</v>
      </c>
    </row>
    <row r="53" spans="1:49" x14ac:dyDescent="0.3">
      <c r="A53" s="130"/>
      <c r="B53" s="130"/>
      <c r="C53" s="130"/>
      <c r="D53" s="130"/>
      <c r="E53" s="130"/>
      <c r="F53" s="130"/>
      <c r="G53" s="130"/>
      <c r="H53" s="130"/>
      <c r="I53" s="130"/>
      <c r="J53" s="130"/>
      <c r="K53" s="130"/>
      <c r="L53" s="130"/>
      <c r="M53" s="130"/>
      <c r="N53" s="130"/>
      <c r="O53" s="130"/>
      <c r="P53" s="130"/>
      <c r="Q53" s="364"/>
      <c r="R53" s="364"/>
      <c r="S53" s="364"/>
      <c r="T53" s="364"/>
      <c r="U53" s="364"/>
      <c r="V53" s="364"/>
      <c r="W53" s="364"/>
      <c r="X53" s="364"/>
      <c r="Y53" s="364"/>
      <c r="Z53" s="364"/>
      <c r="AA53" s="364"/>
      <c r="AB53" s="364"/>
      <c r="AC53" s="364"/>
      <c r="AD53" s="364"/>
      <c r="AE53" s="364"/>
      <c r="AF53" s="364"/>
      <c r="AG53" s="130"/>
      <c r="AH53" s="130"/>
      <c r="AI53" s="365"/>
      <c r="AJ53" s="366"/>
      <c r="AK53" s="130"/>
      <c r="AL53" s="130"/>
      <c r="AM53" s="130"/>
      <c r="AN53" s="136">
        <f t="shared" si="1"/>
        <v>0</v>
      </c>
      <c r="AO53" s="57" t="e">
        <f>((#REF!+#REF!+#REF!+#REF!+#REF!+#REF!+#REF!)*'assessoria- realizado por item'!AN53)-M53-N53</f>
        <v>#REF!</v>
      </c>
      <c r="AP53" s="57" t="e">
        <f>(#REF!*'assessoria- realizado por item'!AN53)-K53</f>
        <v>#REF!</v>
      </c>
      <c r="AQ53" s="57" t="e">
        <f>(#REF!+#REF!+#REF!+#REF!+#REF!+#REF!+#REF!+#REF!+#REF!+#REF!+#REF!+#REF!+#REF!+#REF!+#REF!+#REF!+#REF!+#REF!+#REF!+#REF!)*AN53</f>
        <v>#REF!</v>
      </c>
      <c r="AR53" s="57" t="e">
        <f t="shared" si="8"/>
        <v>#REF!</v>
      </c>
      <c r="AS53" s="57" t="e">
        <f t="shared" si="9"/>
        <v>#REF!</v>
      </c>
      <c r="AT53" s="57" t="e">
        <f t="shared" si="10"/>
        <v>#REF!</v>
      </c>
      <c r="AU53" s="57" t="e">
        <f t="shared" si="11"/>
        <v>#REF!</v>
      </c>
      <c r="AV53" s="57" t="e">
        <f t="shared" si="12"/>
        <v>#REF!</v>
      </c>
      <c r="AW53" s="57" t="e">
        <f t="shared" si="13"/>
        <v>#REF!</v>
      </c>
    </row>
    <row r="54" spans="1:49" x14ac:dyDescent="0.3">
      <c r="A54" s="130"/>
      <c r="B54" s="130"/>
      <c r="C54" s="130"/>
      <c r="D54" s="130"/>
      <c r="E54" s="130"/>
      <c r="F54" s="130"/>
      <c r="G54" s="130"/>
      <c r="H54" s="130"/>
      <c r="I54" s="130"/>
      <c r="J54" s="130"/>
      <c r="K54" s="130"/>
      <c r="L54" s="130"/>
      <c r="M54" s="130"/>
      <c r="N54" s="130"/>
      <c r="O54" s="130"/>
      <c r="P54" s="130"/>
      <c r="Q54" s="364"/>
      <c r="R54" s="364"/>
      <c r="S54" s="364"/>
      <c r="T54" s="364"/>
      <c r="U54" s="364"/>
      <c r="V54" s="364"/>
      <c r="W54" s="364"/>
      <c r="X54" s="364"/>
      <c r="Y54" s="364"/>
      <c r="Z54" s="364"/>
      <c r="AA54" s="364"/>
      <c r="AB54" s="364"/>
      <c r="AC54" s="364"/>
      <c r="AD54" s="364"/>
      <c r="AE54" s="364"/>
      <c r="AF54" s="364"/>
      <c r="AG54" s="130"/>
      <c r="AH54" s="130"/>
      <c r="AI54" s="365"/>
      <c r="AJ54" s="366"/>
      <c r="AK54" s="130"/>
      <c r="AL54" s="130"/>
      <c r="AM54" s="130"/>
      <c r="AN54" s="136">
        <f t="shared" si="1"/>
        <v>0</v>
      </c>
      <c r="AO54" s="57" t="e">
        <f>((#REF!+#REF!+#REF!+#REF!+#REF!+#REF!+#REF!)*'assessoria- realizado por item'!AN54)-M54-N54</f>
        <v>#REF!</v>
      </c>
      <c r="AP54" s="57" t="e">
        <f>(#REF!*'assessoria- realizado por item'!AN54)-K54</f>
        <v>#REF!</v>
      </c>
      <c r="AQ54" s="57" t="e">
        <f>(#REF!+#REF!+#REF!+#REF!+#REF!+#REF!+#REF!+#REF!+#REF!+#REF!+#REF!+#REF!+#REF!+#REF!+#REF!+#REF!+#REF!+#REF!+#REF!+#REF!)*AN54</f>
        <v>#REF!</v>
      </c>
      <c r="AR54" s="57" t="e">
        <f t="shared" si="8"/>
        <v>#REF!</v>
      </c>
      <c r="AS54" s="57" t="e">
        <f t="shared" si="9"/>
        <v>#REF!</v>
      </c>
      <c r="AT54" s="57" t="e">
        <f t="shared" si="10"/>
        <v>#REF!</v>
      </c>
      <c r="AU54" s="57" t="e">
        <f t="shared" si="11"/>
        <v>#REF!</v>
      </c>
      <c r="AV54" s="57" t="e">
        <f t="shared" si="12"/>
        <v>#REF!</v>
      </c>
      <c r="AW54" s="57" t="e">
        <f t="shared" si="13"/>
        <v>#REF!</v>
      </c>
    </row>
    <row r="55" spans="1:49" x14ac:dyDescent="0.3">
      <c r="A55" s="130"/>
      <c r="B55" s="130"/>
      <c r="C55" s="130"/>
      <c r="D55" s="130"/>
      <c r="E55" s="130"/>
      <c r="F55" s="130"/>
      <c r="G55" s="130"/>
      <c r="H55" s="130"/>
      <c r="I55" s="130"/>
      <c r="J55" s="130"/>
      <c r="K55" s="130"/>
      <c r="L55" s="130"/>
      <c r="M55" s="130"/>
      <c r="N55" s="130"/>
      <c r="O55" s="130"/>
      <c r="P55" s="130"/>
      <c r="Q55" s="364"/>
      <c r="R55" s="364"/>
      <c r="S55" s="364"/>
      <c r="T55" s="364"/>
      <c r="U55" s="364"/>
      <c r="V55" s="364"/>
      <c r="W55" s="364"/>
      <c r="X55" s="364"/>
      <c r="Y55" s="364"/>
      <c r="Z55" s="364"/>
      <c r="AA55" s="364"/>
      <c r="AB55" s="364"/>
      <c r="AC55" s="364"/>
      <c r="AD55" s="364"/>
      <c r="AE55" s="364"/>
      <c r="AF55" s="364"/>
      <c r="AG55" s="130"/>
      <c r="AH55" s="130"/>
      <c r="AI55" s="365"/>
      <c r="AJ55" s="366"/>
      <c r="AK55" s="130"/>
      <c r="AL55" s="130"/>
      <c r="AM55" s="130"/>
      <c r="AN55" s="136">
        <f t="shared" si="1"/>
        <v>0</v>
      </c>
      <c r="AO55" s="57" t="e">
        <f>((#REF!+#REF!+#REF!+#REF!+#REF!+#REF!+#REF!)*'assessoria- realizado por item'!AN55)-M55-N55</f>
        <v>#REF!</v>
      </c>
      <c r="AP55" s="57" t="e">
        <f>(#REF!*'assessoria- realizado por item'!AN55)-K55</f>
        <v>#REF!</v>
      </c>
      <c r="AQ55" s="57" t="e">
        <f>(#REF!+#REF!+#REF!+#REF!+#REF!+#REF!+#REF!+#REF!+#REF!+#REF!+#REF!+#REF!+#REF!+#REF!+#REF!+#REF!+#REF!+#REF!+#REF!+#REF!)*AN55</f>
        <v>#REF!</v>
      </c>
      <c r="AR55" s="57" t="e">
        <f t="shared" si="8"/>
        <v>#REF!</v>
      </c>
      <c r="AS55" s="57" t="e">
        <f t="shared" si="9"/>
        <v>#REF!</v>
      </c>
      <c r="AT55" s="57" t="e">
        <f t="shared" si="10"/>
        <v>#REF!</v>
      </c>
      <c r="AU55" s="57" t="e">
        <f t="shared" si="11"/>
        <v>#REF!</v>
      </c>
      <c r="AV55" s="57" t="e">
        <f t="shared" si="12"/>
        <v>#REF!</v>
      </c>
      <c r="AW55" s="57" t="e">
        <f t="shared" si="13"/>
        <v>#REF!</v>
      </c>
    </row>
    <row r="56" spans="1:49" x14ac:dyDescent="0.3">
      <c r="A56" s="130"/>
      <c r="B56" s="130"/>
      <c r="C56" s="130"/>
      <c r="D56" s="130"/>
      <c r="E56" s="130"/>
      <c r="F56" s="130"/>
      <c r="G56" s="130"/>
      <c r="H56" s="130"/>
      <c r="I56" s="130"/>
      <c r="J56" s="130"/>
      <c r="K56" s="130"/>
      <c r="L56" s="130"/>
      <c r="M56" s="130"/>
      <c r="N56" s="130"/>
      <c r="O56" s="130"/>
      <c r="P56" s="130"/>
      <c r="Q56" s="364"/>
      <c r="R56" s="364"/>
      <c r="S56" s="364"/>
      <c r="T56" s="364"/>
      <c r="U56" s="364"/>
      <c r="V56" s="364"/>
      <c r="W56" s="364"/>
      <c r="X56" s="364"/>
      <c r="Y56" s="364"/>
      <c r="Z56" s="364"/>
      <c r="AA56" s="364"/>
      <c r="AB56" s="364"/>
      <c r="AC56" s="364"/>
      <c r="AD56" s="364"/>
      <c r="AE56" s="364"/>
      <c r="AF56" s="364"/>
      <c r="AG56" s="130"/>
      <c r="AH56" s="130"/>
      <c r="AI56" s="365"/>
      <c r="AJ56" s="366"/>
      <c r="AK56" s="130"/>
      <c r="AL56" s="130"/>
      <c r="AM56" s="130"/>
      <c r="AN56" s="136">
        <f t="shared" si="1"/>
        <v>0</v>
      </c>
      <c r="AO56" s="57" t="e">
        <f>((#REF!+#REF!+#REF!+#REF!+#REF!+#REF!+#REF!)*'assessoria- realizado por item'!AN56)-M56-N56</f>
        <v>#REF!</v>
      </c>
      <c r="AP56" s="57" t="e">
        <f>(#REF!*'assessoria- realizado por item'!AN56)-K56</f>
        <v>#REF!</v>
      </c>
      <c r="AQ56" s="57" t="e">
        <f>(#REF!+#REF!+#REF!+#REF!+#REF!+#REF!+#REF!+#REF!+#REF!+#REF!+#REF!+#REF!+#REF!+#REF!+#REF!+#REF!+#REF!+#REF!+#REF!+#REF!)*AN56</f>
        <v>#REF!</v>
      </c>
      <c r="AR56" s="57" t="e">
        <f t="shared" si="8"/>
        <v>#REF!</v>
      </c>
      <c r="AS56" s="57" t="e">
        <f t="shared" si="9"/>
        <v>#REF!</v>
      </c>
      <c r="AT56" s="57" t="e">
        <f t="shared" si="10"/>
        <v>#REF!</v>
      </c>
      <c r="AU56" s="57" t="e">
        <f t="shared" si="11"/>
        <v>#REF!</v>
      </c>
      <c r="AV56" s="57" t="e">
        <f t="shared" si="12"/>
        <v>#REF!</v>
      </c>
      <c r="AW56" s="57" t="e">
        <f t="shared" si="13"/>
        <v>#REF!</v>
      </c>
    </row>
    <row r="57" spans="1:49" x14ac:dyDescent="0.3">
      <c r="A57" s="130"/>
      <c r="B57" s="130"/>
      <c r="C57" s="130"/>
      <c r="D57" s="130"/>
      <c r="E57" s="130"/>
      <c r="F57" s="130"/>
      <c r="G57" s="130"/>
      <c r="H57" s="130"/>
      <c r="I57" s="130"/>
      <c r="J57" s="130"/>
      <c r="K57" s="130"/>
      <c r="L57" s="130"/>
      <c r="M57" s="130"/>
      <c r="N57" s="130"/>
      <c r="O57" s="130"/>
      <c r="P57" s="130"/>
      <c r="Q57" s="364"/>
      <c r="R57" s="364"/>
      <c r="S57" s="364"/>
      <c r="T57" s="364"/>
      <c r="U57" s="364"/>
      <c r="V57" s="364"/>
      <c r="W57" s="364"/>
      <c r="X57" s="364"/>
      <c r="Y57" s="364"/>
      <c r="Z57" s="364"/>
      <c r="AA57" s="364"/>
      <c r="AB57" s="364"/>
      <c r="AC57" s="364"/>
      <c r="AD57" s="364"/>
      <c r="AE57" s="364"/>
      <c r="AF57" s="364"/>
      <c r="AG57" s="130"/>
      <c r="AH57" s="130"/>
      <c r="AI57" s="365"/>
      <c r="AJ57" s="366"/>
      <c r="AK57" s="130"/>
      <c r="AL57" s="130"/>
      <c r="AM57" s="130"/>
      <c r="AN57" s="136">
        <f t="shared" si="1"/>
        <v>0</v>
      </c>
      <c r="AO57" s="57" t="e">
        <f>((#REF!+#REF!+#REF!+#REF!+#REF!+#REF!+#REF!)*'assessoria- realizado por item'!AN57)-M57-N57</f>
        <v>#REF!</v>
      </c>
      <c r="AP57" s="57" t="e">
        <f>(#REF!*'assessoria- realizado por item'!AN57)-K57</f>
        <v>#REF!</v>
      </c>
      <c r="AQ57" s="57" t="e">
        <f>(#REF!+#REF!+#REF!+#REF!+#REF!+#REF!+#REF!+#REF!+#REF!+#REF!+#REF!+#REF!+#REF!+#REF!+#REF!+#REF!+#REF!+#REF!+#REF!+#REF!)*AN57</f>
        <v>#REF!</v>
      </c>
      <c r="AR57" s="57" t="e">
        <f t="shared" si="8"/>
        <v>#REF!</v>
      </c>
      <c r="AS57" s="57" t="e">
        <f t="shared" si="9"/>
        <v>#REF!</v>
      </c>
      <c r="AT57" s="57" t="e">
        <f t="shared" si="10"/>
        <v>#REF!</v>
      </c>
      <c r="AU57" s="57" t="e">
        <f t="shared" si="11"/>
        <v>#REF!</v>
      </c>
      <c r="AV57" s="57" t="e">
        <f t="shared" si="12"/>
        <v>#REF!</v>
      </c>
      <c r="AW57" s="57" t="e">
        <f t="shared" si="13"/>
        <v>#REF!</v>
      </c>
    </row>
    <row r="58" spans="1:49" x14ac:dyDescent="0.3">
      <c r="A58" s="130"/>
      <c r="B58" s="130"/>
      <c r="C58" s="130"/>
      <c r="D58" s="130"/>
      <c r="E58" s="130"/>
      <c r="F58" s="130"/>
      <c r="G58" s="130"/>
      <c r="H58" s="130"/>
      <c r="I58" s="130"/>
      <c r="J58" s="130"/>
      <c r="K58" s="130"/>
      <c r="L58" s="130"/>
      <c r="M58" s="130"/>
      <c r="N58" s="130"/>
      <c r="O58" s="130"/>
      <c r="P58" s="130"/>
      <c r="Q58" s="364"/>
      <c r="R58" s="364"/>
      <c r="S58" s="364"/>
      <c r="T58" s="364"/>
      <c r="U58" s="364"/>
      <c r="V58" s="364"/>
      <c r="W58" s="364"/>
      <c r="X58" s="364"/>
      <c r="Y58" s="364"/>
      <c r="Z58" s="364"/>
      <c r="AA58" s="364"/>
      <c r="AB58" s="364"/>
      <c r="AC58" s="364"/>
      <c r="AD58" s="364"/>
      <c r="AE58" s="364"/>
      <c r="AF58" s="364"/>
      <c r="AG58" s="130"/>
      <c r="AH58" s="130"/>
      <c r="AI58" s="365"/>
      <c r="AJ58" s="366"/>
      <c r="AK58" s="130"/>
      <c r="AL58" s="130"/>
      <c r="AM58" s="130"/>
      <c r="AN58" s="136">
        <f t="shared" si="1"/>
        <v>0</v>
      </c>
      <c r="AO58" s="57" t="e">
        <f>((#REF!+#REF!+#REF!+#REF!+#REF!+#REF!+#REF!)*'assessoria- realizado por item'!AN58)-M58-N58</f>
        <v>#REF!</v>
      </c>
      <c r="AP58" s="57" t="e">
        <f>(#REF!*'assessoria- realizado por item'!AN58)-K58</f>
        <v>#REF!</v>
      </c>
      <c r="AQ58" s="57" t="e">
        <f>(#REF!+#REF!+#REF!+#REF!+#REF!+#REF!+#REF!+#REF!+#REF!+#REF!+#REF!+#REF!+#REF!+#REF!+#REF!+#REF!+#REF!+#REF!+#REF!+#REF!)*AN58</f>
        <v>#REF!</v>
      </c>
      <c r="AR58" s="57" t="e">
        <f t="shared" si="8"/>
        <v>#REF!</v>
      </c>
      <c r="AS58" s="57" t="e">
        <f t="shared" si="9"/>
        <v>#REF!</v>
      </c>
      <c r="AT58" s="57" t="e">
        <f t="shared" si="10"/>
        <v>#REF!</v>
      </c>
      <c r="AU58" s="57" t="e">
        <f t="shared" si="11"/>
        <v>#REF!</v>
      </c>
      <c r="AV58" s="57" t="e">
        <f t="shared" si="12"/>
        <v>#REF!</v>
      </c>
      <c r="AW58" s="57" t="e">
        <f t="shared" si="13"/>
        <v>#REF!</v>
      </c>
    </row>
    <row r="59" spans="1:49" x14ac:dyDescent="0.3">
      <c r="A59" s="130"/>
      <c r="B59" s="130"/>
      <c r="C59" s="130"/>
      <c r="D59" s="130"/>
      <c r="E59" s="130"/>
      <c r="F59" s="130"/>
      <c r="G59" s="130"/>
      <c r="H59" s="130"/>
      <c r="I59" s="130"/>
      <c r="J59" s="130"/>
      <c r="K59" s="130"/>
      <c r="L59" s="130"/>
      <c r="M59" s="130"/>
      <c r="N59" s="130"/>
      <c r="O59" s="130"/>
      <c r="P59" s="130"/>
      <c r="Q59" s="364"/>
      <c r="R59" s="364"/>
      <c r="S59" s="364"/>
      <c r="T59" s="364"/>
      <c r="U59" s="364"/>
      <c r="V59" s="364"/>
      <c r="W59" s="364"/>
      <c r="X59" s="364"/>
      <c r="Y59" s="364"/>
      <c r="Z59" s="364"/>
      <c r="AA59" s="364"/>
      <c r="AB59" s="364"/>
      <c r="AC59" s="364"/>
      <c r="AD59" s="364"/>
      <c r="AE59" s="364"/>
      <c r="AF59" s="364"/>
      <c r="AG59" s="130"/>
      <c r="AH59" s="130"/>
      <c r="AI59" s="365"/>
      <c r="AJ59" s="366"/>
      <c r="AK59" s="130"/>
      <c r="AL59" s="130"/>
      <c r="AM59" s="130"/>
      <c r="AN59" s="136">
        <f t="shared" si="1"/>
        <v>0</v>
      </c>
      <c r="AO59" s="57" t="e">
        <f>((#REF!+#REF!+#REF!+#REF!+#REF!+#REF!+#REF!)*'assessoria- realizado por item'!AN59)-M59-N59</f>
        <v>#REF!</v>
      </c>
      <c r="AP59" s="57" t="e">
        <f>(#REF!*'assessoria- realizado por item'!AN59)-K59</f>
        <v>#REF!</v>
      </c>
      <c r="AQ59" s="57" t="e">
        <f>(#REF!+#REF!+#REF!+#REF!+#REF!+#REF!+#REF!+#REF!+#REF!+#REF!+#REF!+#REF!+#REF!+#REF!+#REF!+#REF!+#REF!+#REF!+#REF!+#REF!)*AN59</f>
        <v>#REF!</v>
      </c>
      <c r="AR59" s="57" t="e">
        <f t="shared" si="8"/>
        <v>#REF!</v>
      </c>
      <c r="AS59" s="57" t="e">
        <f t="shared" si="9"/>
        <v>#REF!</v>
      </c>
      <c r="AT59" s="57" t="e">
        <f t="shared" si="10"/>
        <v>#REF!</v>
      </c>
      <c r="AU59" s="57" t="e">
        <f t="shared" si="11"/>
        <v>#REF!</v>
      </c>
      <c r="AV59" s="57" t="e">
        <f t="shared" si="12"/>
        <v>#REF!</v>
      </c>
      <c r="AW59" s="57" t="e">
        <f t="shared" si="13"/>
        <v>#REF!</v>
      </c>
    </row>
    <row r="60" spans="1:49" x14ac:dyDescent="0.3">
      <c r="A60" s="130"/>
      <c r="B60" s="130"/>
      <c r="C60" s="130"/>
      <c r="D60" s="130"/>
      <c r="E60" s="130"/>
      <c r="F60" s="130"/>
      <c r="G60" s="130"/>
      <c r="H60" s="130"/>
      <c r="I60" s="130"/>
      <c r="J60" s="130"/>
      <c r="K60" s="130"/>
      <c r="L60" s="130"/>
      <c r="M60" s="130"/>
      <c r="N60" s="130"/>
      <c r="O60" s="130"/>
      <c r="P60" s="130"/>
      <c r="Q60" s="364"/>
      <c r="R60" s="364"/>
      <c r="S60" s="364"/>
      <c r="T60" s="364"/>
      <c r="U60" s="364"/>
      <c r="V60" s="364"/>
      <c r="W60" s="364"/>
      <c r="X60" s="364"/>
      <c r="Y60" s="364"/>
      <c r="Z60" s="364"/>
      <c r="AA60" s="364"/>
      <c r="AB60" s="364"/>
      <c r="AC60" s="364"/>
      <c r="AD60" s="364"/>
      <c r="AE60" s="364"/>
      <c r="AF60" s="364"/>
      <c r="AG60" s="130"/>
      <c r="AH60" s="130"/>
      <c r="AI60" s="365"/>
      <c r="AJ60" s="366"/>
      <c r="AK60" s="130"/>
      <c r="AL60" s="130"/>
      <c r="AM60" s="130"/>
      <c r="AN60" s="136">
        <f t="shared" si="1"/>
        <v>0</v>
      </c>
      <c r="AO60" s="57" t="e">
        <f>((#REF!+#REF!+#REF!+#REF!+#REF!+#REF!+#REF!)*'assessoria- realizado por item'!AN60)-M60-N60</f>
        <v>#REF!</v>
      </c>
      <c r="AP60" s="57" t="e">
        <f>(#REF!*'assessoria- realizado por item'!AN60)-K60</f>
        <v>#REF!</v>
      </c>
      <c r="AQ60" s="57" t="e">
        <f>(#REF!+#REF!+#REF!+#REF!+#REF!+#REF!+#REF!+#REF!+#REF!+#REF!+#REF!+#REF!+#REF!+#REF!+#REF!+#REF!+#REF!+#REF!+#REF!+#REF!)*AN60</f>
        <v>#REF!</v>
      </c>
      <c r="AR60" s="57" t="e">
        <f t="shared" si="8"/>
        <v>#REF!</v>
      </c>
      <c r="AS60" s="57" t="e">
        <f t="shared" si="9"/>
        <v>#REF!</v>
      </c>
      <c r="AT60" s="57" t="e">
        <f t="shared" si="10"/>
        <v>#REF!</v>
      </c>
      <c r="AU60" s="57" t="e">
        <f t="shared" si="11"/>
        <v>#REF!</v>
      </c>
      <c r="AV60" s="57" t="e">
        <f t="shared" si="12"/>
        <v>#REF!</v>
      </c>
      <c r="AW60" s="57" t="e">
        <f t="shared" si="13"/>
        <v>#REF!</v>
      </c>
    </row>
    <row r="61" spans="1:49" x14ac:dyDescent="0.3">
      <c r="A61" s="130"/>
      <c r="B61" s="130"/>
      <c r="C61" s="130"/>
      <c r="D61" s="130"/>
      <c r="E61" s="130"/>
      <c r="F61" s="130"/>
      <c r="G61" s="130"/>
      <c r="H61" s="130"/>
      <c r="I61" s="130"/>
      <c r="J61" s="130"/>
      <c r="K61" s="130"/>
      <c r="L61" s="130"/>
      <c r="M61" s="130"/>
      <c r="N61" s="130"/>
      <c r="O61" s="130"/>
      <c r="P61" s="130"/>
      <c r="Q61" s="364"/>
      <c r="R61" s="364"/>
      <c r="S61" s="364"/>
      <c r="T61" s="364"/>
      <c r="U61" s="364"/>
      <c r="V61" s="364"/>
      <c r="W61" s="364"/>
      <c r="X61" s="364"/>
      <c r="Y61" s="364"/>
      <c r="Z61" s="364"/>
      <c r="AA61" s="364"/>
      <c r="AB61" s="364"/>
      <c r="AC61" s="364"/>
      <c r="AD61" s="364"/>
      <c r="AE61" s="364"/>
      <c r="AF61" s="364"/>
      <c r="AG61" s="130"/>
      <c r="AH61" s="130"/>
      <c r="AI61" s="365"/>
      <c r="AJ61" s="366"/>
      <c r="AK61" s="130"/>
      <c r="AL61" s="130"/>
      <c r="AM61" s="130"/>
      <c r="AN61" s="136">
        <f t="shared" si="1"/>
        <v>0</v>
      </c>
      <c r="AO61" s="57" t="e">
        <f>((#REF!+#REF!+#REF!+#REF!+#REF!+#REF!+#REF!)*'assessoria- realizado por item'!AN61)-M61-N61</f>
        <v>#REF!</v>
      </c>
      <c r="AP61" s="57" t="e">
        <f>(#REF!*'assessoria- realizado por item'!AN61)-K61</f>
        <v>#REF!</v>
      </c>
      <c r="AQ61" s="57" t="e">
        <f>(#REF!+#REF!+#REF!+#REF!+#REF!+#REF!+#REF!+#REF!+#REF!+#REF!+#REF!+#REF!+#REF!+#REF!+#REF!+#REF!+#REF!+#REF!+#REF!+#REF!)*AN61</f>
        <v>#REF!</v>
      </c>
      <c r="AR61" s="57" t="e">
        <f t="shared" si="8"/>
        <v>#REF!</v>
      </c>
      <c r="AS61" s="57" t="e">
        <f t="shared" si="9"/>
        <v>#REF!</v>
      </c>
      <c r="AT61" s="57" t="e">
        <f t="shared" si="10"/>
        <v>#REF!</v>
      </c>
      <c r="AU61" s="57" t="e">
        <f t="shared" si="11"/>
        <v>#REF!</v>
      </c>
      <c r="AV61" s="57" t="e">
        <f t="shared" si="12"/>
        <v>#REF!</v>
      </c>
      <c r="AW61" s="57" t="e">
        <f t="shared" si="13"/>
        <v>#REF!</v>
      </c>
    </row>
    <row r="62" spans="1:49" x14ac:dyDescent="0.3">
      <c r="A62" s="130"/>
      <c r="B62" s="130"/>
      <c r="C62" s="130"/>
      <c r="D62" s="130"/>
      <c r="E62" s="130"/>
      <c r="F62" s="130"/>
      <c r="G62" s="130"/>
      <c r="H62" s="130"/>
      <c r="I62" s="130"/>
      <c r="J62" s="130"/>
      <c r="K62" s="130"/>
      <c r="L62" s="130"/>
      <c r="M62" s="130"/>
      <c r="N62" s="130"/>
      <c r="O62" s="130"/>
      <c r="P62" s="130"/>
      <c r="Q62" s="364"/>
      <c r="R62" s="364"/>
      <c r="S62" s="364"/>
      <c r="T62" s="364"/>
      <c r="U62" s="364"/>
      <c r="V62" s="364"/>
      <c r="W62" s="364"/>
      <c r="X62" s="364"/>
      <c r="Y62" s="364"/>
      <c r="Z62" s="364"/>
      <c r="AA62" s="364"/>
      <c r="AB62" s="364"/>
      <c r="AC62" s="364"/>
      <c r="AD62" s="364"/>
      <c r="AE62" s="364"/>
      <c r="AF62" s="364"/>
      <c r="AG62" s="130"/>
      <c r="AH62" s="130"/>
      <c r="AI62" s="365"/>
      <c r="AJ62" s="366"/>
      <c r="AK62" s="130"/>
      <c r="AL62" s="130"/>
      <c r="AM62" s="130"/>
      <c r="AN62" s="136">
        <f t="shared" si="1"/>
        <v>0</v>
      </c>
      <c r="AO62" s="57" t="e">
        <f>((#REF!+#REF!+#REF!+#REF!+#REF!+#REF!+#REF!)*'assessoria- realizado por item'!AN62)-M62-N62</f>
        <v>#REF!</v>
      </c>
      <c r="AP62" s="57" t="e">
        <f>(#REF!*'assessoria- realizado por item'!AN62)-K62</f>
        <v>#REF!</v>
      </c>
      <c r="AQ62" s="57" t="e">
        <f>(#REF!+#REF!+#REF!+#REF!+#REF!+#REF!+#REF!+#REF!+#REF!+#REF!+#REF!+#REF!+#REF!+#REF!+#REF!+#REF!+#REF!+#REF!+#REF!+#REF!)*AN62</f>
        <v>#REF!</v>
      </c>
      <c r="AR62" s="57" t="e">
        <f t="shared" si="8"/>
        <v>#REF!</v>
      </c>
      <c r="AS62" s="57" t="e">
        <f t="shared" si="9"/>
        <v>#REF!</v>
      </c>
      <c r="AT62" s="57" t="e">
        <f t="shared" si="10"/>
        <v>#REF!</v>
      </c>
      <c r="AU62" s="57" t="e">
        <f t="shared" si="11"/>
        <v>#REF!</v>
      </c>
      <c r="AV62" s="57" t="e">
        <f t="shared" si="12"/>
        <v>#REF!</v>
      </c>
      <c r="AW62" s="57" t="e">
        <f t="shared" si="13"/>
        <v>#REF!</v>
      </c>
    </row>
    <row r="63" spans="1:49" x14ac:dyDescent="0.3">
      <c r="A63" s="130"/>
      <c r="B63" s="130"/>
      <c r="C63" s="130"/>
      <c r="D63" s="130"/>
      <c r="E63" s="130"/>
      <c r="F63" s="130"/>
      <c r="G63" s="130"/>
      <c r="H63" s="130"/>
      <c r="I63" s="130"/>
      <c r="J63" s="130"/>
      <c r="K63" s="130"/>
      <c r="L63" s="130"/>
      <c r="M63" s="130"/>
      <c r="N63" s="130"/>
      <c r="O63" s="130"/>
      <c r="P63" s="130"/>
      <c r="Q63" s="364"/>
      <c r="R63" s="364"/>
      <c r="S63" s="364"/>
      <c r="T63" s="364"/>
      <c r="U63" s="364"/>
      <c r="V63" s="364"/>
      <c r="W63" s="364"/>
      <c r="X63" s="364"/>
      <c r="Y63" s="364"/>
      <c r="Z63" s="364"/>
      <c r="AA63" s="364"/>
      <c r="AB63" s="364"/>
      <c r="AC63" s="364"/>
      <c r="AD63" s="364"/>
      <c r="AE63" s="364"/>
      <c r="AF63" s="364"/>
      <c r="AG63" s="130"/>
      <c r="AH63" s="130"/>
      <c r="AI63" s="365"/>
      <c r="AJ63" s="366"/>
      <c r="AK63" s="130"/>
      <c r="AL63" s="130"/>
      <c r="AM63" s="130"/>
      <c r="AN63" s="136">
        <f t="shared" si="1"/>
        <v>0</v>
      </c>
      <c r="AO63" s="57" t="e">
        <f>((#REF!+#REF!+#REF!+#REF!+#REF!+#REF!+#REF!)*'assessoria- realizado por item'!AN63)-M63-N63</f>
        <v>#REF!</v>
      </c>
      <c r="AP63" s="57" t="e">
        <f>(#REF!*'assessoria- realizado por item'!AN63)-K63</f>
        <v>#REF!</v>
      </c>
      <c r="AQ63" s="57" t="e">
        <f>(#REF!+#REF!+#REF!+#REF!+#REF!+#REF!+#REF!+#REF!+#REF!+#REF!+#REF!+#REF!+#REF!+#REF!+#REF!+#REF!+#REF!+#REF!+#REF!+#REF!)*AN63</f>
        <v>#REF!</v>
      </c>
      <c r="AR63" s="57" t="e">
        <f t="shared" si="8"/>
        <v>#REF!</v>
      </c>
      <c r="AS63" s="57" t="e">
        <f t="shared" si="9"/>
        <v>#REF!</v>
      </c>
      <c r="AT63" s="57" t="e">
        <f t="shared" si="10"/>
        <v>#REF!</v>
      </c>
      <c r="AU63" s="57" t="e">
        <f t="shared" si="11"/>
        <v>#REF!</v>
      </c>
      <c r="AV63" s="57" t="e">
        <f t="shared" si="12"/>
        <v>#REF!</v>
      </c>
      <c r="AW63" s="57" t="e">
        <f t="shared" si="13"/>
        <v>#REF!</v>
      </c>
    </row>
    <row r="64" spans="1:49" x14ac:dyDescent="0.3">
      <c r="A64" s="130"/>
      <c r="B64" s="130"/>
      <c r="C64" s="130"/>
      <c r="D64" s="130"/>
      <c r="E64" s="130"/>
      <c r="F64" s="130"/>
      <c r="G64" s="130"/>
      <c r="H64" s="130"/>
      <c r="I64" s="130"/>
      <c r="J64" s="130"/>
      <c r="K64" s="130"/>
      <c r="L64" s="130"/>
      <c r="M64" s="130"/>
      <c r="N64" s="130"/>
      <c r="O64" s="130"/>
      <c r="P64" s="130"/>
      <c r="Q64" s="364"/>
      <c r="R64" s="364"/>
      <c r="S64" s="364"/>
      <c r="T64" s="364"/>
      <c r="U64" s="364"/>
      <c r="V64" s="364"/>
      <c r="W64" s="364"/>
      <c r="X64" s="364"/>
      <c r="Y64" s="364"/>
      <c r="Z64" s="364"/>
      <c r="AA64" s="364"/>
      <c r="AB64" s="364"/>
      <c r="AC64" s="364"/>
      <c r="AD64" s="364"/>
      <c r="AE64" s="364"/>
      <c r="AF64" s="364"/>
      <c r="AG64" s="130"/>
      <c r="AH64" s="130"/>
      <c r="AI64" s="365"/>
      <c r="AJ64" s="366"/>
      <c r="AK64" s="130"/>
      <c r="AL64" s="130"/>
      <c r="AM64" s="130"/>
      <c r="AN64" s="136">
        <f t="shared" si="1"/>
        <v>0</v>
      </c>
      <c r="AO64" s="57" t="e">
        <f>((#REF!+#REF!+#REF!+#REF!+#REF!+#REF!+#REF!)*'assessoria- realizado por item'!AN64)-M64-N64</f>
        <v>#REF!</v>
      </c>
      <c r="AP64" s="57" t="e">
        <f>(#REF!*'assessoria- realizado por item'!AN64)-K64</f>
        <v>#REF!</v>
      </c>
      <c r="AQ64" s="57" t="e">
        <f>(#REF!+#REF!+#REF!+#REF!+#REF!+#REF!+#REF!+#REF!+#REF!+#REF!+#REF!+#REF!+#REF!+#REF!+#REF!+#REF!+#REF!+#REF!+#REF!+#REF!)*AN64</f>
        <v>#REF!</v>
      </c>
      <c r="AR64" s="57" t="e">
        <f t="shared" si="8"/>
        <v>#REF!</v>
      </c>
      <c r="AS64" s="57" t="e">
        <f t="shared" si="9"/>
        <v>#REF!</v>
      </c>
      <c r="AT64" s="57" t="e">
        <f t="shared" si="10"/>
        <v>#REF!</v>
      </c>
      <c r="AU64" s="57" t="e">
        <f t="shared" si="11"/>
        <v>#REF!</v>
      </c>
      <c r="AV64" s="57" t="e">
        <f t="shared" si="12"/>
        <v>#REF!</v>
      </c>
      <c r="AW64" s="57" t="e">
        <f t="shared" si="13"/>
        <v>#REF!</v>
      </c>
    </row>
    <row r="65" spans="1:49" x14ac:dyDescent="0.3">
      <c r="A65" s="130"/>
      <c r="B65" s="130"/>
      <c r="C65" s="130"/>
      <c r="D65" s="130"/>
      <c r="E65" s="130"/>
      <c r="F65" s="130"/>
      <c r="G65" s="130"/>
      <c r="H65" s="130"/>
      <c r="I65" s="130"/>
      <c r="J65" s="130"/>
      <c r="K65" s="130"/>
      <c r="L65" s="130"/>
      <c r="M65" s="130"/>
      <c r="N65" s="130"/>
      <c r="O65" s="130"/>
      <c r="P65" s="130"/>
      <c r="Q65" s="364"/>
      <c r="R65" s="364"/>
      <c r="S65" s="364"/>
      <c r="T65" s="364"/>
      <c r="U65" s="364"/>
      <c r="V65" s="364"/>
      <c r="W65" s="364"/>
      <c r="X65" s="364"/>
      <c r="Y65" s="364"/>
      <c r="Z65" s="364"/>
      <c r="AA65" s="364"/>
      <c r="AB65" s="364"/>
      <c r="AC65" s="364"/>
      <c r="AD65" s="364"/>
      <c r="AE65" s="364"/>
      <c r="AF65" s="364"/>
      <c r="AG65" s="130"/>
      <c r="AH65" s="130"/>
      <c r="AI65" s="365"/>
      <c r="AJ65" s="366"/>
      <c r="AK65" s="130"/>
      <c r="AL65" s="130"/>
      <c r="AM65" s="130"/>
      <c r="AN65" s="136">
        <f t="shared" si="1"/>
        <v>0</v>
      </c>
      <c r="AO65" s="57" t="e">
        <f>((#REF!+#REF!+#REF!+#REF!+#REF!+#REF!+#REF!)*'assessoria- realizado por item'!AN65)-M65-N65</f>
        <v>#REF!</v>
      </c>
      <c r="AP65" s="57" t="e">
        <f>(#REF!*'assessoria- realizado por item'!AN65)-K65</f>
        <v>#REF!</v>
      </c>
      <c r="AQ65" s="57" t="e">
        <f>(#REF!+#REF!+#REF!+#REF!+#REF!+#REF!+#REF!+#REF!+#REF!+#REF!+#REF!+#REF!+#REF!+#REF!+#REF!+#REF!+#REF!+#REF!+#REF!+#REF!)*AN65</f>
        <v>#REF!</v>
      </c>
      <c r="AR65" s="57" t="e">
        <f t="shared" si="8"/>
        <v>#REF!</v>
      </c>
      <c r="AS65" s="57" t="e">
        <f t="shared" si="9"/>
        <v>#REF!</v>
      </c>
      <c r="AT65" s="57" t="e">
        <f t="shared" si="10"/>
        <v>#REF!</v>
      </c>
      <c r="AU65" s="57" t="e">
        <f t="shared" si="11"/>
        <v>#REF!</v>
      </c>
      <c r="AV65" s="57" t="e">
        <f t="shared" si="12"/>
        <v>#REF!</v>
      </c>
      <c r="AW65" s="57" t="e">
        <f t="shared" si="13"/>
        <v>#REF!</v>
      </c>
    </row>
    <row r="66" spans="1:49" x14ac:dyDescent="0.3">
      <c r="A66" s="130"/>
      <c r="B66" s="130"/>
      <c r="C66" s="130"/>
      <c r="D66" s="130"/>
      <c r="E66" s="130"/>
      <c r="F66" s="130"/>
      <c r="G66" s="130"/>
      <c r="H66" s="130"/>
      <c r="I66" s="130"/>
      <c r="J66" s="130"/>
      <c r="K66" s="130"/>
      <c r="L66" s="130"/>
      <c r="M66" s="130"/>
      <c r="N66" s="130"/>
      <c r="O66" s="130"/>
      <c r="P66" s="130"/>
      <c r="Q66" s="364"/>
      <c r="R66" s="364"/>
      <c r="S66" s="364"/>
      <c r="T66" s="364"/>
      <c r="U66" s="364"/>
      <c r="V66" s="364"/>
      <c r="W66" s="364"/>
      <c r="X66" s="364"/>
      <c r="Y66" s="364"/>
      <c r="Z66" s="364"/>
      <c r="AA66" s="364"/>
      <c r="AB66" s="364"/>
      <c r="AC66" s="364"/>
      <c r="AD66" s="364"/>
      <c r="AE66" s="364"/>
      <c r="AF66" s="364"/>
      <c r="AG66" s="130"/>
      <c r="AH66" s="130"/>
      <c r="AI66" s="365"/>
      <c r="AJ66" s="366"/>
      <c r="AK66" s="130"/>
      <c r="AL66" s="130"/>
      <c r="AM66" s="130"/>
      <c r="AN66" s="136">
        <f t="shared" si="1"/>
        <v>0</v>
      </c>
      <c r="AO66" s="57" t="e">
        <f>((#REF!+#REF!+#REF!+#REF!+#REF!+#REF!+#REF!)*'assessoria- realizado por item'!AN66)-M66-N66</f>
        <v>#REF!</v>
      </c>
      <c r="AP66" s="57" t="e">
        <f>(#REF!*'assessoria- realizado por item'!AN66)-K66</f>
        <v>#REF!</v>
      </c>
      <c r="AQ66" s="57" t="e">
        <f>(#REF!+#REF!+#REF!+#REF!+#REF!+#REF!+#REF!+#REF!+#REF!+#REF!+#REF!+#REF!+#REF!+#REF!+#REF!+#REF!+#REF!+#REF!+#REF!+#REF!)*AN66</f>
        <v>#REF!</v>
      </c>
      <c r="AR66" s="57" t="e">
        <f t="shared" si="8"/>
        <v>#REF!</v>
      </c>
      <c r="AS66" s="57" t="e">
        <f t="shared" si="9"/>
        <v>#REF!</v>
      </c>
      <c r="AT66" s="57" t="e">
        <f t="shared" si="10"/>
        <v>#REF!</v>
      </c>
      <c r="AU66" s="57" t="e">
        <f t="shared" si="11"/>
        <v>#REF!</v>
      </c>
      <c r="AV66" s="57" t="e">
        <f t="shared" si="12"/>
        <v>#REF!</v>
      </c>
      <c r="AW66" s="57" t="e">
        <f t="shared" si="13"/>
        <v>#REF!</v>
      </c>
    </row>
    <row r="67" spans="1:49" x14ac:dyDescent="0.3">
      <c r="A67" s="130"/>
      <c r="B67" s="130"/>
      <c r="C67" s="130"/>
      <c r="D67" s="130"/>
      <c r="E67" s="130"/>
      <c r="F67" s="130"/>
      <c r="G67" s="130"/>
      <c r="H67" s="130"/>
      <c r="I67" s="130"/>
      <c r="J67" s="130"/>
      <c r="K67" s="130"/>
      <c r="L67" s="130"/>
      <c r="M67" s="130"/>
      <c r="N67" s="130"/>
      <c r="O67" s="130"/>
      <c r="P67" s="130"/>
      <c r="Q67" s="364"/>
      <c r="R67" s="364"/>
      <c r="S67" s="364"/>
      <c r="T67" s="364"/>
      <c r="U67" s="364"/>
      <c r="V67" s="364"/>
      <c r="W67" s="364"/>
      <c r="X67" s="364"/>
      <c r="Y67" s="364"/>
      <c r="Z67" s="364"/>
      <c r="AA67" s="364"/>
      <c r="AB67" s="364"/>
      <c r="AC67" s="364"/>
      <c r="AD67" s="364"/>
      <c r="AE67" s="364"/>
      <c r="AF67" s="364"/>
      <c r="AG67" s="130"/>
      <c r="AH67" s="130"/>
      <c r="AI67" s="365"/>
      <c r="AJ67" s="366"/>
      <c r="AK67" s="130"/>
      <c r="AL67" s="130"/>
      <c r="AM67" s="130"/>
      <c r="AN67" s="136">
        <f t="shared" si="1"/>
        <v>0</v>
      </c>
      <c r="AO67" s="57" t="e">
        <f>((#REF!+#REF!+#REF!+#REF!+#REF!+#REF!+#REF!)*'assessoria- realizado por item'!AN67)-M67-N67</f>
        <v>#REF!</v>
      </c>
      <c r="AP67" s="57" t="e">
        <f>(#REF!*'assessoria- realizado por item'!AN67)-K67</f>
        <v>#REF!</v>
      </c>
      <c r="AQ67" s="57" t="e">
        <f>(#REF!+#REF!+#REF!+#REF!+#REF!+#REF!+#REF!+#REF!+#REF!+#REF!+#REF!+#REF!+#REF!+#REF!+#REF!+#REF!+#REF!+#REF!+#REF!+#REF!)*AN67</f>
        <v>#REF!</v>
      </c>
      <c r="AR67" s="57" t="e">
        <f t="shared" si="8"/>
        <v>#REF!</v>
      </c>
      <c r="AS67" s="57" t="e">
        <f t="shared" si="9"/>
        <v>#REF!</v>
      </c>
      <c r="AT67" s="57" t="e">
        <f t="shared" si="10"/>
        <v>#REF!</v>
      </c>
      <c r="AU67" s="57" t="e">
        <f t="shared" si="11"/>
        <v>#REF!</v>
      </c>
      <c r="AV67" s="57" t="e">
        <f t="shared" si="12"/>
        <v>#REF!</v>
      </c>
      <c r="AW67" s="57" t="e">
        <f t="shared" si="13"/>
        <v>#REF!</v>
      </c>
    </row>
    <row r="68" spans="1:49" x14ac:dyDescent="0.3">
      <c r="A68" s="130"/>
      <c r="B68" s="130"/>
      <c r="C68" s="130"/>
      <c r="D68" s="130"/>
      <c r="E68" s="130"/>
      <c r="F68" s="130"/>
      <c r="G68" s="130"/>
      <c r="H68" s="130"/>
      <c r="I68" s="130"/>
      <c r="J68" s="130"/>
      <c r="K68" s="130"/>
      <c r="L68" s="130"/>
      <c r="M68" s="130"/>
      <c r="N68" s="130"/>
      <c r="O68" s="130"/>
      <c r="P68" s="130"/>
      <c r="Q68" s="364"/>
      <c r="R68" s="364"/>
      <c r="S68" s="364"/>
      <c r="T68" s="364"/>
      <c r="U68" s="364"/>
      <c r="V68" s="364"/>
      <c r="W68" s="364"/>
      <c r="X68" s="364"/>
      <c r="Y68" s="364"/>
      <c r="Z68" s="364"/>
      <c r="AA68" s="364"/>
      <c r="AB68" s="364"/>
      <c r="AC68" s="364"/>
      <c r="AD68" s="364"/>
      <c r="AE68" s="364"/>
      <c r="AF68" s="364"/>
      <c r="AG68" s="130"/>
      <c r="AH68" s="130"/>
      <c r="AI68" s="365"/>
      <c r="AJ68" s="366"/>
      <c r="AK68" s="130"/>
      <c r="AL68" s="130"/>
      <c r="AM68" s="130"/>
      <c r="AN68" s="136">
        <f t="shared" si="1"/>
        <v>0</v>
      </c>
      <c r="AO68" s="57" t="e">
        <f>((#REF!+#REF!+#REF!+#REF!+#REF!+#REF!+#REF!)*'assessoria- realizado por item'!AN68)-M68-N68</f>
        <v>#REF!</v>
      </c>
      <c r="AP68" s="57" t="e">
        <f>(#REF!*'assessoria- realizado por item'!AN68)-K68</f>
        <v>#REF!</v>
      </c>
      <c r="AQ68" s="57" t="e">
        <f>(#REF!+#REF!+#REF!+#REF!+#REF!+#REF!+#REF!+#REF!+#REF!+#REF!+#REF!+#REF!+#REF!+#REF!+#REF!+#REF!+#REF!+#REF!+#REF!+#REF!)*AN68</f>
        <v>#REF!</v>
      </c>
      <c r="AR68" s="57" t="e">
        <f t="shared" si="8"/>
        <v>#REF!</v>
      </c>
      <c r="AS68" s="57" t="e">
        <f t="shared" si="9"/>
        <v>#REF!</v>
      </c>
      <c r="AT68" s="57" t="e">
        <f t="shared" si="10"/>
        <v>#REF!</v>
      </c>
      <c r="AU68" s="57" t="e">
        <f t="shared" si="11"/>
        <v>#REF!</v>
      </c>
      <c r="AV68" s="57" t="e">
        <f t="shared" si="12"/>
        <v>#REF!</v>
      </c>
      <c r="AW68" s="57" t="e">
        <f t="shared" si="13"/>
        <v>#REF!</v>
      </c>
    </row>
    <row r="69" spans="1:49" x14ac:dyDescent="0.3">
      <c r="A69" s="130"/>
      <c r="B69" s="130"/>
      <c r="C69" s="130"/>
      <c r="D69" s="130"/>
      <c r="E69" s="130"/>
      <c r="F69" s="130"/>
      <c r="G69" s="130"/>
      <c r="H69" s="130"/>
      <c r="I69" s="130"/>
      <c r="J69" s="130"/>
      <c r="K69" s="130"/>
      <c r="L69" s="130"/>
      <c r="M69" s="130"/>
      <c r="N69" s="130"/>
      <c r="O69" s="130"/>
      <c r="P69" s="130"/>
      <c r="Q69" s="364"/>
      <c r="R69" s="364"/>
      <c r="S69" s="364"/>
      <c r="T69" s="364"/>
      <c r="U69" s="364"/>
      <c r="V69" s="364"/>
      <c r="W69" s="364"/>
      <c r="X69" s="364"/>
      <c r="Y69" s="364"/>
      <c r="Z69" s="364"/>
      <c r="AA69" s="364"/>
      <c r="AB69" s="364"/>
      <c r="AC69" s="364"/>
      <c r="AD69" s="364"/>
      <c r="AE69" s="364"/>
      <c r="AF69" s="364"/>
      <c r="AG69" s="130"/>
      <c r="AH69" s="130"/>
      <c r="AI69" s="365"/>
      <c r="AJ69" s="366"/>
      <c r="AK69" s="130"/>
      <c r="AL69" s="130"/>
      <c r="AM69" s="130"/>
      <c r="AN69" s="136">
        <f t="shared" si="1"/>
        <v>0</v>
      </c>
      <c r="AO69" s="57" t="e">
        <f>((#REF!+#REF!+#REF!+#REF!+#REF!+#REF!+#REF!)*'assessoria- realizado por item'!AN69)-M69-N69</f>
        <v>#REF!</v>
      </c>
      <c r="AP69" s="57" t="e">
        <f>(#REF!*'assessoria- realizado por item'!AN69)-K69</f>
        <v>#REF!</v>
      </c>
      <c r="AQ69" s="57" t="e">
        <f>(#REF!+#REF!+#REF!+#REF!+#REF!+#REF!+#REF!+#REF!+#REF!+#REF!+#REF!+#REF!+#REF!+#REF!+#REF!+#REF!+#REF!+#REF!+#REF!+#REF!)*AN69</f>
        <v>#REF!</v>
      </c>
      <c r="AR69" s="57" t="e">
        <f t="shared" si="8"/>
        <v>#REF!</v>
      </c>
      <c r="AS69" s="57" t="e">
        <f t="shared" si="9"/>
        <v>#REF!</v>
      </c>
      <c r="AT69" s="57" t="e">
        <f t="shared" si="10"/>
        <v>#REF!</v>
      </c>
      <c r="AU69" s="57" t="e">
        <f t="shared" si="11"/>
        <v>#REF!</v>
      </c>
      <c r="AV69" s="57" t="e">
        <f t="shared" si="12"/>
        <v>#REF!</v>
      </c>
      <c r="AW69" s="57" t="e">
        <f t="shared" si="13"/>
        <v>#REF!</v>
      </c>
    </row>
    <row r="70" spans="1:49" x14ac:dyDescent="0.3">
      <c r="A70" s="130"/>
      <c r="B70" s="130"/>
      <c r="C70" s="130"/>
      <c r="D70" s="130"/>
      <c r="E70" s="130"/>
      <c r="F70" s="130"/>
      <c r="G70" s="130"/>
      <c r="H70" s="130"/>
      <c r="I70" s="130"/>
      <c r="J70" s="130"/>
      <c r="K70" s="130"/>
      <c r="L70" s="130"/>
      <c r="M70" s="130"/>
      <c r="N70" s="130"/>
      <c r="O70" s="130"/>
      <c r="P70" s="130"/>
      <c r="Q70" s="364"/>
      <c r="R70" s="364"/>
      <c r="S70" s="364"/>
      <c r="T70" s="364"/>
      <c r="U70" s="364"/>
      <c r="V70" s="364"/>
      <c r="W70" s="364"/>
      <c r="X70" s="364"/>
      <c r="Y70" s="364"/>
      <c r="Z70" s="364"/>
      <c r="AA70" s="364"/>
      <c r="AB70" s="364"/>
      <c r="AC70" s="364"/>
      <c r="AD70" s="364"/>
      <c r="AE70" s="364"/>
      <c r="AF70" s="364"/>
      <c r="AG70" s="130"/>
      <c r="AH70" s="130"/>
      <c r="AI70" s="365"/>
      <c r="AJ70" s="366"/>
      <c r="AK70" s="130"/>
      <c r="AL70" s="130"/>
      <c r="AM70" s="130"/>
      <c r="AN70" s="136">
        <f t="shared" si="1"/>
        <v>0</v>
      </c>
      <c r="AO70" s="57" t="e">
        <f>((#REF!+#REF!+#REF!+#REF!+#REF!+#REF!+#REF!)*'assessoria- realizado por item'!AN70)-M70-N70</f>
        <v>#REF!</v>
      </c>
      <c r="AP70" s="57" t="e">
        <f>(#REF!*'assessoria- realizado por item'!AN70)-K70</f>
        <v>#REF!</v>
      </c>
      <c r="AQ70" s="57" t="e">
        <f>(#REF!+#REF!+#REF!+#REF!+#REF!+#REF!+#REF!+#REF!+#REF!+#REF!+#REF!+#REF!+#REF!+#REF!+#REF!+#REF!+#REF!+#REF!+#REF!+#REF!)*AN70</f>
        <v>#REF!</v>
      </c>
      <c r="AR70" s="57" t="e">
        <f t="shared" si="8"/>
        <v>#REF!</v>
      </c>
      <c r="AS70" s="57" t="e">
        <f t="shared" si="9"/>
        <v>#REF!</v>
      </c>
      <c r="AT70" s="57" t="e">
        <f t="shared" si="10"/>
        <v>#REF!</v>
      </c>
      <c r="AU70" s="57" t="e">
        <f t="shared" si="11"/>
        <v>#REF!</v>
      </c>
      <c r="AV70" s="57" t="e">
        <f t="shared" si="12"/>
        <v>#REF!</v>
      </c>
      <c r="AW70" s="57" t="e">
        <f t="shared" si="13"/>
        <v>#REF!</v>
      </c>
    </row>
    <row r="71" spans="1:49" x14ac:dyDescent="0.3">
      <c r="A71" s="130"/>
      <c r="B71" s="130"/>
      <c r="C71" s="130"/>
      <c r="D71" s="130"/>
      <c r="E71" s="130"/>
      <c r="F71" s="130"/>
      <c r="G71" s="130"/>
      <c r="H71" s="130"/>
      <c r="I71" s="130"/>
      <c r="J71" s="130"/>
      <c r="K71" s="130"/>
      <c r="L71" s="130"/>
      <c r="M71" s="130"/>
      <c r="N71" s="130"/>
      <c r="O71" s="130"/>
      <c r="P71" s="130"/>
      <c r="Q71" s="364"/>
      <c r="R71" s="364"/>
      <c r="S71" s="364"/>
      <c r="T71" s="364"/>
      <c r="U71" s="364"/>
      <c r="V71" s="364"/>
      <c r="W71" s="364"/>
      <c r="X71" s="364"/>
      <c r="Y71" s="364"/>
      <c r="Z71" s="364"/>
      <c r="AA71" s="364"/>
      <c r="AB71" s="364"/>
      <c r="AC71" s="364"/>
      <c r="AD71" s="364"/>
      <c r="AE71" s="364"/>
      <c r="AF71" s="364"/>
      <c r="AG71" s="130"/>
      <c r="AH71" s="130"/>
      <c r="AI71" s="365"/>
      <c r="AJ71" s="366"/>
      <c r="AK71" s="130"/>
      <c r="AL71" s="130"/>
      <c r="AM71" s="130"/>
      <c r="AN71" s="136">
        <f t="shared" si="1"/>
        <v>0</v>
      </c>
      <c r="AO71" s="57" t="e">
        <f>((#REF!+#REF!+#REF!+#REF!+#REF!+#REF!+#REF!)*'assessoria- realizado por item'!AN71)-M71-N71</f>
        <v>#REF!</v>
      </c>
      <c r="AP71" s="57" t="e">
        <f>(#REF!*'assessoria- realizado por item'!AN71)-K71</f>
        <v>#REF!</v>
      </c>
      <c r="AQ71" s="57" t="e">
        <f>(#REF!+#REF!+#REF!+#REF!+#REF!+#REF!+#REF!+#REF!+#REF!+#REF!+#REF!+#REF!+#REF!+#REF!+#REF!+#REF!+#REF!+#REF!+#REF!+#REF!)*AN71</f>
        <v>#REF!</v>
      </c>
      <c r="AR71" s="57" t="e">
        <f t="shared" si="8"/>
        <v>#REF!</v>
      </c>
      <c r="AS71" s="57" t="e">
        <f t="shared" si="9"/>
        <v>#REF!</v>
      </c>
      <c r="AT71" s="57" t="e">
        <f t="shared" si="10"/>
        <v>#REF!</v>
      </c>
      <c r="AU71" s="57" t="e">
        <f t="shared" si="11"/>
        <v>#REF!</v>
      </c>
      <c r="AV71" s="57" t="e">
        <f t="shared" si="12"/>
        <v>#REF!</v>
      </c>
      <c r="AW71" s="57" t="e">
        <f t="shared" si="13"/>
        <v>#REF!</v>
      </c>
    </row>
    <row r="72" spans="1:49" x14ac:dyDescent="0.3">
      <c r="A72" s="130"/>
      <c r="B72" s="130"/>
      <c r="C72" s="130"/>
      <c r="D72" s="130"/>
      <c r="E72" s="130"/>
      <c r="F72" s="130"/>
      <c r="G72" s="130"/>
      <c r="H72" s="130"/>
      <c r="I72" s="130"/>
      <c r="J72" s="130"/>
      <c r="K72" s="130"/>
      <c r="L72" s="130"/>
      <c r="M72" s="130"/>
      <c r="N72" s="130"/>
      <c r="O72" s="130"/>
      <c r="P72" s="130"/>
      <c r="Q72" s="364"/>
      <c r="R72" s="364"/>
      <c r="S72" s="364"/>
      <c r="T72" s="364"/>
      <c r="U72" s="364"/>
      <c r="V72" s="364"/>
      <c r="W72" s="364"/>
      <c r="X72" s="364"/>
      <c r="Y72" s="364"/>
      <c r="Z72" s="364"/>
      <c r="AA72" s="364"/>
      <c r="AB72" s="364"/>
      <c r="AC72" s="364"/>
      <c r="AD72" s="364"/>
      <c r="AE72" s="364"/>
      <c r="AF72" s="364"/>
      <c r="AG72" s="130"/>
      <c r="AH72" s="130"/>
      <c r="AI72" s="365"/>
      <c r="AJ72" s="366"/>
      <c r="AK72" s="130"/>
      <c r="AL72" s="130"/>
      <c r="AM72" s="130"/>
      <c r="AN72" s="136">
        <f t="shared" si="1"/>
        <v>0</v>
      </c>
      <c r="AO72" s="57" t="e">
        <f>((#REF!+#REF!+#REF!+#REF!+#REF!+#REF!+#REF!)*'assessoria- realizado por item'!AN72)-M72-N72</f>
        <v>#REF!</v>
      </c>
      <c r="AP72" s="57" t="e">
        <f>(#REF!*'assessoria- realizado por item'!AN72)-K72</f>
        <v>#REF!</v>
      </c>
      <c r="AQ72" s="57" t="e">
        <f>(#REF!+#REF!+#REF!+#REF!+#REF!+#REF!+#REF!+#REF!+#REF!+#REF!+#REF!+#REF!+#REF!+#REF!+#REF!+#REF!+#REF!+#REF!+#REF!+#REF!)*AN72</f>
        <v>#REF!</v>
      </c>
      <c r="AR72" s="57" t="e">
        <f t="shared" si="8"/>
        <v>#REF!</v>
      </c>
      <c r="AS72" s="57" t="e">
        <f t="shared" si="9"/>
        <v>#REF!</v>
      </c>
      <c r="AT72" s="57" t="e">
        <f t="shared" si="10"/>
        <v>#REF!</v>
      </c>
      <c r="AU72" s="57" t="e">
        <f t="shared" si="11"/>
        <v>#REF!</v>
      </c>
      <c r="AV72" s="57" t="e">
        <f t="shared" si="12"/>
        <v>#REF!</v>
      </c>
      <c r="AW72" s="57" t="e">
        <f t="shared" si="13"/>
        <v>#REF!</v>
      </c>
    </row>
    <row r="73" spans="1:49" x14ac:dyDescent="0.3">
      <c r="A73" s="130"/>
      <c r="B73" s="130"/>
      <c r="C73" s="130"/>
      <c r="D73" s="130"/>
      <c r="E73" s="130"/>
      <c r="F73" s="130"/>
      <c r="G73" s="130"/>
      <c r="H73" s="130"/>
      <c r="I73" s="130"/>
      <c r="J73" s="130"/>
      <c r="K73" s="130"/>
      <c r="L73" s="130"/>
      <c r="M73" s="130"/>
      <c r="N73" s="130"/>
      <c r="O73" s="130"/>
      <c r="P73" s="130"/>
      <c r="Q73" s="364"/>
      <c r="R73" s="364"/>
      <c r="S73" s="364"/>
      <c r="T73" s="364"/>
      <c r="U73" s="364"/>
      <c r="V73" s="364"/>
      <c r="W73" s="364"/>
      <c r="X73" s="364"/>
      <c r="Y73" s="364"/>
      <c r="Z73" s="364"/>
      <c r="AA73" s="364"/>
      <c r="AB73" s="364"/>
      <c r="AC73" s="364"/>
      <c r="AD73" s="364"/>
      <c r="AE73" s="364"/>
      <c r="AF73" s="364"/>
      <c r="AG73" s="130"/>
      <c r="AH73" s="130"/>
      <c r="AI73" s="365"/>
      <c r="AJ73" s="366"/>
      <c r="AK73" s="130"/>
      <c r="AL73" s="130"/>
      <c r="AM73" s="130"/>
      <c r="AN73" s="136">
        <f t="shared" ref="AN73:AN114" si="14">P73/$P$114</f>
        <v>0</v>
      </c>
      <c r="AO73" s="57" t="e">
        <f>((#REF!+#REF!+#REF!+#REF!+#REF!+#REF!+#REF!)*'assessoria- realizado por item'!AN73)-M73-N73</f>
        <v>#REF!</v>
      </c>
      <c r="AP73" s="57" t="e">
        <f>(#REF!*'assessoria- realizado por item'!AN73)-K73</f>
        <v>#REF!</v>
      </c>
      <c r="AQ73" s="57" t="e">
        <f>(#REF!+#REF!+#REF!+#REF!+#REF!+#REF!+#REF!+#REF!+#REF!+#REF!+#REF!+#REF!+#REF!+#REF!+#REF!+#REF!+#REF!+#REF!+#REF!+#REF!)*AN73</f>
        <v>#REF!</v>
      </c>
      <c r="AR73" s="57" t="e">
        <f t="shared" si="8"/>
        <v>#REF!</v>
      </c>
      <c r="AS73" s="57" t="e">
        <f t="shared" si="9"/>
        <v>#REF!</v>
      </c>
      <c r="AT73" s="57" t="e">
        <f t="shared" si="10"/>
        <v>#REF!</v>
      </c>
      <c r="AU73" s="57" t="e">
        <f t="shared" si="11"/>
        <v>#REF!</v>
      </c>
      <c r="AV73" s="57" t="e">
        <f t="shared" si="12"/>
        <v>#REF!</v>
      </c>
      <c r="AW73" s="57" t="e">
        <f t="shared" si="13"/>
        <v>#REF!</v>
      </c>
    </row>
    <row r="74" spans="1:49" x14ac:dyDescent="0.3">
      <c r="A74" s="130"/>
      <c r="B74" s="130"/>
      <c r="C74" s="130"/>
      <c r="D74" s="130"/>
      <c r="E74" s="130"/>
      <c r="F74" s="130"/>
      <c r="G74" s="130"/>
      <c r="H74" s="130"/>
      <c r="I74" s="130"/>
      <c r="J74" s="130"/>
      <c r="K74" s="130"/>
      <c r="L74" s="130"/>
      <c r="M74" s="130"/>
      <c r="N74" s="130"/>
      <c r="O74" s="130"/>
      <c r="P74" s="130"/>
      <c r="Q74" s="364"/>
      <c r="R74" s="364"/>
      <c r="S74" s="364"/>
      <c r="T74" s="364"/>
      <c r="U74" s="364"/>
      <c r="V74" s="364"/>
      <c r="W74" s="364"/>
      <c r="X74" s="364"/>
      <c r="Y74" s="364"/>
      <c r="Z74" s="364"/>
      <c r="AA74" s="364"/>
      <c r="AB74" s="364"/>
      <c r="AC74" s="364"/>
      <c r="AD74" s="364"/>
      <c r="AE74" s="364"/>
      <c r="AF74" s="364"/>
      <c r="AG74" s="130"/>
      <c r="AH74" s="130"/>
      <c r="AI74" s="365"/>
      <c r="AJ74" s="366"/>
      <c r="AK74" s="130"/>
      <c r="AL74" s="130"/>
      <c r="AM74" s="130"/>
      <c r="AN74" s="136">
        <f t="shared" si="14"/>
        <v>0</v>
      </c>
      <c r="AO74" s="57" t="e">
        <f>((#REF!+#REF!+#REF!+#REF!+#REF!+#REF!+#REF!)*'assessoria- realizado por item'!AN74)-M74-N74</f>
        <v>#REF!</v>
      </c>
      <c r="AP74" s="57" t="e">
        <f>(#REF!*'assessoria- realizado por item'!AN74)-K74</f>
        <v>#REF!</v>
      </c>
      <c r="AQ74" s="57" t="e">
        <f>(#REF!+#REF!+#REF!+#REF!+#REF!+#REF!+#REF!+#REF!+#REF!+#REF!+#REF!+#REF!+#REF!+#REF!+#REF!+#REF!+#REF!+#REF!+#REF!+#REF!)*AN74</f>
        <v>#REF!</v>
      </c>
      <c r="AR74" s="57" t="e">
        <f t="shared" si="8"/>
        <v>#REF!</v>
      </c>
      <c r="AS74" s="57" t="e">
        <f t="shared" si="9"/>
        <v>#REF!</v>
      </c>
      <c r="AT74" s="57" t="e">
        <f t="shared" si="10"/>
        <v>#REF!</v>
      </c>
      <c r="AU74" s="57" t="e">
        <f t="shared" si="11"/>
        <v>#REF!</v>
      </c>
      <c r="AV74" s="57" t="e">
        <f t="shared" si="12"/>
        <v>#REF!</v>
      </c>
      <c r="AW74" s="57" t="e">
        <f t="shared" si="13"/>
        <v>#REF!</v>
      </c>
    </row>
    <row r="75" spans="1:49" x14ac:dyDescent="0.3">
      <c r="A75" s="130"/>
      <c r="B75" s="130"/>
      <c r="C75" s="130"/>
      <c r="D75" s="130"/>
      <c r="E75" s="130"/>
      <c r="F75" s="130"/>
      <c r="G75" s="130"/>
      <c r="H75" s="130"/>
      <c r="I75" s="130"/>
      <c r="J75" s="130"/>
      <c r="K75" s="130"/>
      <c r="L75" s="130"/>
      <c r="M75" s="130"/>
      <c r="N75" s="130"/>
      <c r="O75" s="130"/>
      <c r="P75" s="130"/>
      <c r="Q75" s="364"/>
      <c r="R75" s="364"/>
      <c r="S75" s="364"/>
      <c r="T75" s="364"/>
      <c r="U75" s="364"/>
      <c r="V75" s="364"/>
      <c r="W75" s="364"/>
      <c r="X75" s="364"/>
      <c r="Y75" s="364"/>
      <c r="Z75" s="364"/>
      <c r="AA75" s="364"/>
      <c r="AB75" s="364"/>
      <c r="AC75" s="364"/>
      <c r="AD75" s="364"/>
      <c r="AE75" s="364"/>
      <c r="AF75" s="364"/>
      <c r="AG75" s="130"/>
      <c r="AH75" s="130"/>
      <c r="AI75" s="365"/>
      <c r="AJ75" s="366"/>
      <c r="AK75" s="130"/>
      <c r="AL75" s="130"/>
      <c r="AM75" s="130"/>
      <c r="AN75" s="136">
        <f t="shared" si="14"/>
        <v>0</v>
      </c>
      <c r="AO75" s="57" t="e">
        <f>((#REF!+#REF!+#REF!+#REF!+#REF!+#REF!+#REF!)*'assessoria- realizado por item'!AN75)-M75-N75</f>
        <v>#REF!</v>
      </c>
      <c r="AP75" s="57" t="e">
        <f>(#REF!*'assessoria- realizado por item'!AN75)-K75</f>
        <v>#REF!</v>
      </c>
      <c r="AQ75" s="57" t="e">
        <f>(#REF!+#REF!+#REF!+#REF!+#REF!+#REF!+#REF!+#REF!+#REF!+#REF!+#REF!+#REF!+#REF!+#REF!+#REF!+#REF!+#REF!+#REF!+#REF!+#REF!)*AN75</f>
        <v>#REF!</v>
      </c>
      <c r="AR75" s="57" t="e">
        <f t="shared" si="8"/>
        <v>#REF!</v>
      </c>
      <c r="AS75" s="57" t="e">
        <f t="shared" si="9"/>
        <v>#REF!</v>
      </c>
      <c r="AT75" s="57" t="e">
        <f t="shared" si="10"/>
        <v>#REF!</v>
      </c>
      <c r="AU75" s="57" t="e">
        <f t="shared" si="11"/>
        <v>#REF!</v>
      </c>
      <c r="AV75" s="57" t="e">
        <f t="shared" si="12"/>
        <v>#REF!</v>
      </c>
      <c r="AW75" s="57" t="e">
        <f t="shared" si="13"/>
        <v>#REF!</v>
      </c>
    </row>
    <row r="76" spans="1:49" x14ac:dyDescent="0.3">
      <c r="A76" s="130"/>
      <c r="B76" s="130"/>
      <c r="C76" s="130"/>
      <c r="D76" s="130"/>
      <c r="E76" s="130"/>
      <c r="F76" s="130"/>
      <c r="G76" s="130"/>
      <c r="H76" s="130"/>
      <c r="I76" s="130"/>
      <c r="J76" s="130"/>
      <c r="K76" s="130"/>
      <c r="L76" s="130"/>
      <c r="M76" s="130"/>
      <c r="N76" s="130"/>
      <c r="O76" s="130"/>
      <c r="P76" s="130"/>
      <c r="Q76" s="364"/>
      <c r="R76" s="364"/>
      <c r="S76" s="364"/>
      <c r="T76" s="364"/>
      <c r="U76" s="364"/>
      <c r="V76" s="364"/>
      <c r="W76" s="364"/>
      <c r="X76" s="364"/>
      <c r="Y76" s="364"/>
      <c r="Z76" s="364"/>
      <c r="AA76" s="364"/>
      <c r="AB76" s="364"/>
      <c r="AC76" s="364"/>
      <c r="AD76" s="364"/>
      <c r="AE76" s="364"/>
      <c r="AF76" s="364"/>
      <c r="AG76" s="130"/>
      <c r="AH76" s="130"/>
      <c r="AI76" s="365"/>
      <c r="AJ76" s="366"/>
      <c r="AK76" s="130"/>
      <c r="AL76" s="130"/>
      <c r="AM76" s="130"/>
      <c r="AN76" s="136">
        <f t="shared" si="14"/>
        <v>0</v>
      </c>
      <c r="AO76" s="57" t="e">
        <f>((#REF!+#REF!+#REF!+#REF!+#REF!+#REF!+#REF!)*'assessoria- realizado por item'!AN76)-M76-N76</f>
        <v>#REF!</v>
      </c>
      <c r="AP76" s="57" t="e">
        <f>(#REF!*'assessoria- realizado por item'!AN76)-K76</f>
        <v>#REF!</v>
      </c>
      <c r="AQ76" s="57" t="e">
        <f>(#REF!+#REF!+#REF!+#REF!+#REF!+#REF!+#REF!+#REF!+#REF!+#REF!+#REF!+#REF!+#REF!+#REF!+#REF!+#REF!+#REF!+#REF!+#REF!+#REF!)*AN76</f>
        <v>#REF!</v>
      </c>
      <c r="AR76" s="57" t="e">
        <f t="shared" si="8"/>
        <v>#REF!</v>
      </c>
      <c r="AS76" s="57" t="e">
        <f t="shared" si="9"/>
        <v>#REF!</v>
      </c>
      <c r="AT76" s="57" t="e">
        <f t="shared" si="10"/>
        <v>#REF!</v>
      </c>
      <c r="AU76" s="57" t="e">
        <f t="shared" si="11"/>
        <v>#REF!</v>
      </c>
      <c r="AV76" s="57" t="e">
        <f t="shared" si="12"/>
        <v>#REF!</v>
      </c>
      <c r="AW76" s="57" t="e">
        <f t="shared" si="13"/>
        <v>#REF!</v>
      </c>
    </row>
    <row r="77" spans="1:49" x14ac:dyDescent="0.3">
      <c r="A77" s="130"/>
      <c r="B77" s="130"/>
      <c r="C77" s="130"/>
      <c r="D77" s="130"/>
      <c r="E77" s="130"/>
      <c r="F77" s="130"/>
      <c r="G77" s="130"/>
      <c r="H77" s="130"/>
      <c r="I77" s="130"/>
      <c r="J77" s="130"/>
      <c r="K77" s="130"/>
      <c r="L77" s="130"/>
      <c r="M77" s="130"/>
      <c r="N77" s="130"/>
      <c r="O77" s="130"/>
      <c r="P77" s="130"/>
      <c r="Q77" s="364"/>
      <c r="R77" s="364"/>
      <c r="S77" s="364"/>
      <c r="T77" s="364"/>
      <c r="U77" s="364"/>
      <c r="V77" s="364"/>
      <c r="W77" s="364"/>
      <c r="X77" s="364"/>
      <c r="Y77" s="364"/>
      <c r="Z77" s="364"/>
      <c r="AA77" s="364"/>
      <c r="AB77" s="364"/>
      <c r="AC77" s="364"/>
      <c r="AD77" s="364"/>
      <c r="AE77" s="364"/>
      <c r="AF77" s="364"/>
      <c r="AG77" s="130"/>
      <c r="AH77" s="130"/>
      <c r="AI77" s="365"/>
      <c r="AJ77" s="366"/>
      <c r="AK77" s="130"/>
      <c r="AL77" s="130"/>
      <c r="AM77" s="130"/>
      <c r="AN77" s="136">
        <f t="shared" si="14"/>
        <v>0</v>
      </c>
      <c r="AO77" s="57" t="e">
        <f>((#REF!+#REF!+#REF!+#REF!+#REF!+#REF!+#REF!)*'assessoria- realizado por item'!AN77)-M77-N77</f>
        <v>#REF!</v>
      </c>
      <c r="AP77" s="57" t="e">
        <f>(#REF!*'assessoria- realizado por item'!AN77)-K77</f>
        <v>#REF!</v>
      </c>
      <c r="AQ77" s="57" t="e">
        <f>(#REF!+#REF!+#REF!+#REF!+#REF!+#REF!+#REF!+#REF!+#REF!+#REF!+#REF!+#REF!+#REF!+#REF!+#REF!+#REF!+#REF!+#REF!+#REF!+#REF!)*AN77</f>
        <v>#REF!</v>
      </c>
      <c r="AR77" s="57" t="e">
        <f t="shared" si="8"/>
        <v>#REF!</v>
      </c>
      <c r="AS77" s="57" t="e">
        <f t="shared" si="9"/>
        <v>#REF!</v>
      </c>
      <c r="AT77" s="57" t="e">
        <f t="shared" si="10"/>
        <v>#REF!</v>
      </c>
      <c r="AU77" s="57" t="e">
        <f t="shared" si="11"/>
        <v>#REF!</v>
      </c>
      <c r="AV77" s="57" t="e">
        <f t="shared" si="12"/>
        <v>#REF!</v>
      </c>
      <c r="AW77" s="57" t="e">
        <f t="shared" si="13"/>
        <v>#REF!</v>
      </c>
    </row>
    <row r="78" spans="1:49" x14ac:dyDescent="0.3">
      <c r="A78" s="130"/>
      <c r="B78" s="130"/>
      <c r="C78" s="130"/>
      <c r="D78" s="130"/>
      <c r="E78" s="130"/>
      <c r="F78" s="130"/>
      <c r="G78" s="130"/>
      <c r="H78" s="130"/>
      <c r="I78" s="130"/>
      <c r="J78" s="130"/>
      <c r="K78" s="130"/>
      <c r="L78" s="130"/>
      <c r="M78" s="130"/>
      <c r="N78" s="130"/>
      <c r="O78" s="130"/>
      <c r="P78" s="130"/>
      <c r="Q78" s="364"/>
      <c r="R78" s="364"/>
      <c r="S78" s="364"/>
      <c r="T78" s="364"/>
      <c r="U78" s="364"/>
      <c r="V78" s="364"/>
      <c r="W78" s="364"/>
      <c r="X78" s="364"/>
      <c r="Y78" s="364"/>
      <c r="Z78" s="364"/>
      <c r="AA78" s="364"/>
      <c r="AB78" s="364"/>
      <c r="AC78" s="364"/>
      <c r="AD78" s="364"/>
      <c r="AE78" s="364"/>
      <c r="AF78" s="364"/>
      <c r="AG78" s="130"/>
      <c r="AH78" s="130"/>
      <c r="AI78" s="365"/>
      <c r="AJ78" s="366"/>
      <c r="AK78" s="130"/>
      <c r="AL78" s="130"/>
      <c r="AM78" s="130"/>
      <c r="AN78" s="136">
        <f t="shared" si="14"/>
        <v>0</v>
      </c>
      <c r="AO78" s="57" t="e">
        <f>((#REF!+#REF!+#REF!+#REF!+#REF!+#REF!+#REF!)*'assessoria- realizado por item'!AN78)-M78-N78</f>
        <v>#REF!</v>
      </c>
      <c r="AP78" s="57" t="e">
        <f>(#REF!*'assessoria- realizado por item'!AN78)-K78</f>
        <v>#REF!</v>
      </c>
      <c r="AQ78" s="57" t="e">
        <f>(#REF!+#REF!+#REF!+#REF!+#REF!+#REF!+#REF!+#REF!+#REF!+#REF!+#REF!+#REF!+#REF!+#REF!+#REF!+#REF!+#REF!+#REF!+#REF!+#REF!)*AN78</f>
        <v>#REF!</v>
      </c>
      <c r="AR78" s="57" t="e">
        <f t="shared" si="8"/>
        <v>#REF!</v>
      </c>
      <c r="AS78" s="57" t="e">
        <f t="shared" si="9"/>
        <v>#REF!</v>
      </c>
      <c r="AT78" s="57" t="e">
        <f t="shared" si="10"/>
        <v>#REF!</v>
      </c>
      <c r="AU78" s="57" t="e">
        <f t="shared" si="11"/>
        <v>#REF!</v>
      </c>
      <c r="AV78" s="57" t="e">
        <f t="shared" si="12"/>
        <v>#REF!</v>
      </c>
      <c r="AW78" s="57" t="e">
        <f t="shared" si="13"/>
        <v>#REF!</v>
      </c>
    </row>
    <row r="79" spans="1:49" x14ac:dyDescent="0.3">
      <c r="A79" s="130"/>
      <c r="B79" s="130"/>
      <c r="C79" s="130"/>
      <c r="D79" s="130"/>
      <c r="E79" s="130"/>
      <c r="F79" s="130"/>
      <c r="G79" s="130"/>
      <c r="H79" s="130"/>
      <c r="I79" s="130"/>
      <c r="J79" s="130"/>
      <c r="K79" s="130"/>
      <c r="L79" s="130"/>
      <c r="M79" s="130"/>
      <c r="N79" s="130"/>
      <c r="O79" s="130"/>
      <c r="P79" s="130"/>
      <c r="Q79" s="364"/>
      <c r="R79" s="364"/>
      <c r="S79" s="364"/>
      <c r="T79" s="364"/>
      <c r="U79" s="364"/>
      <c r="V79" s="364"/>
      <c r="W79" s="364"/>
      <c r="X79" s="364"/>
      <c r="Y79" s="364"/>
      <c r="Z79" s="364"/>
      <c r="AA79" s="364"/>
      <c r="AB79" s="364"/>
      <c r="AC79" s="364"/>
      <c r="AD79" s="364"/>
      <c r="AE79" s="364"/>
      <c r="AF79" s="364"/>
      <c r="AG79" s="130"/>
      <c r="AH79" s="130"/>
      <c r="AI79" s="365"/>
      <c r="AJ79" s="366"/>
      <c r="AK79" s="130"/>
      <c r="AL79" s="130"/>
      <c r="AM79" s="130"/>
      <c r="AN79" s="136">
        <f t="shared" si="14"/>
        <v>0</v>
      </c>
      <c r="AO79" s="57" t="e">
        <f>((#REF!+#REF!+#REF!+#REF!+#REF!+#REF!+#REF!)*'assessoria- realizado por item'!AN79)-M79-N79</f>
        <v>#REF!</v>
      </c>
      <c r="AP79" s="57" t="e">
        <f>(#REF!*'assessoria- realizado por item'!AN79)-K79</f>
        <v>#REF!</v>
      </c>
      <c r="AQ79" s="57" t="e">
        <f>(#REF!+#REF!+#REF!+#REF!+#REF!+#REF!+#REF!+#REF!+#REF!+#REF!+#REF!+#REF!+#REF!+#REF!+#REF!+#REF!+#REF!+#REF!+#REF!+#REF!)*AN79</f>
        <v>#REF!</v>
      </c>
      <c r="AR79" s="57" t="e">
        <f t="shared" si="8"/>
        <v>#REF!</v>
      </c>
      <c r="AS79" s="57" t="e">
        <f t="shared" si="9"/>
        <v>#REF!</v>
      </c>
      <c r="AT79" s="57" t="e">
        <f t="shared" si="10"/>
        <v>#REF!</v>
      </c>
      <c r="AU79" s="57" t="e">
        <f t="shared" si="11"/>
        <v>#REF!</v>
      </c>
      <c r="AV79" s="57" t="e">
        <f t="shared" si="12"/>
        <v>#REF!</v>
      </c>
      <c r="AW79" s="57" t="e">
        <f t="shared" si="13"/>
        <v>#REF!</v>
      </c>
    </row>
    <row r="80" spans="1:49" x14ac:dyDescent="0.3">
      <c r="A80" s="130"/>
      <c r="B80" s="130"/>
      <c r="C80" s="130"/>
      <c r="D80" s="130"/>
      <c r="E80" s="130"/>
      <c r="F80" s="130"/>
      <c r="G80" s="130"/>
      <c r="H80" s="130"/>
      <c r="I80" s="130"/>
      <c r="J80" s="130"/>
      <c r="K80" s="130"/>
      <c r="L80" s="130"/>
      <c r="M80" s="130"/>
      <c r="N80" s="130"/>
      <c r="O80" s="130"/>
      <c r="P80" s="130"/>
      <c r="Q80" s="364"/>
      <c r="R80" s="364"/>
      <c r="S80" s="364"/>
      <c r="T80" s="364"/>
      <c r="U80" s="364"/>
      <c r="V80" s="364"/>
      <c r="W80" s="364"/>
      <c r="X80" s="364"/>
      <c r="Y80" s="364"/>
      <c r="Z80" s="364"/>
      <c r="AA80" s="364"/>
      <c r="AB80" s="364"/>
      <c r="AC80" s="364"/>
      <c r="AD80" s="364"/>
      <c r="AE80" s="364"/>
      <c r="AF80" s="364"/>
      <c r="AG80" s="130"/>
      <c r="AH80" s="130"/>
      <c r="AI80" s="365"/>
      <c r="AJ80" s="366"/>
      <c r="AK80" s="130"/>
      <c r="AL80" s="130"/>
      <c r="AM80" s="130"/>
      <c r="AN80" s="136">
        <f t="shared" si="14"/>
        <v>0</v>
      </c>
      <c r="AO80" s="57" t="e">
        <f>((#REF!+#REF!+#REF!+#REF!+#REF!+#REF!+#REF!)*'assessoria- realizado por item'!AN80)-M80-N80</f>
        <v>#REF!</v>
      </c>
      <c r="AP80" s="57" t="e">
        <f>(#REF!*'assessoria- realizado por item'!AN80)-K80</f>
        <v>#REF!</v>
      </c>
      <c r="AQ80" s="57" t="e">
        <f>(#REF!+#REF!+#REF!+#REF!+#REF!+#REF!+#REF!+#REF!+#REF!+#REF!+#REF!+#REF!+#REF!+#REF!+#REF!+#REF!+#REF!+#REF!+#REF!+#REF!)*AN80</f>
        <v>#REF!</v>
      </c>
      <c r="AR80" s="57" t="e">
        <f t="shared" si="8"/>
        <v>#REF!</v>
      </c>
      <c r="AS80" s="57" t="e">
        <f t="shared" si="9"/>
        <v>#REF!</v>
      </c>
      <c r="AT80" s="57" t="e">
        <f t="shared" si="10"/>
        <v>#REF!</v>
      </c>
      <c r="AU80" s="57" t="e">
        <f t="shared" si="11"/>
        <v>#REF!</v>
      </c>
      <c r="AV80" s="57" t="e">
        <f t="shared" si="12"/>
        <v>#REF!</v>
      </c>
      <c r="AW80" s="57" t="e">
        <f t="shared" si="13"/>
        <v>#REF!</v>
      </c>
    </row>
    <row r="81" spans="1:49" x14ac:dyDescent="0.3">
      <c r="A81" s="130"/>
      <c r="B81" s="130"/>
      <c r="C81" s="130"/>
      <c r="D81" s="130"/>
      <c r="E81" s="130"/>
      <c r="F81" s="130"/>
      <c r="G81" s="130"/>
      <c r="H81" s="130"/>
      <c r="I81" s="130"/>
      <c r="J81" s="130"/>
      <c r="K81" s="130"/>
      <c r="L81" s="130"/>
      <c r="M81" s="130"/>
      <c r="N81" s="130"/>
      <c r="O81" s="130"/>
      <c r="P81" s="130"/>
      <c r="Q81" s="364"/>
      <c r="R81" s="364"/>
      <c r="S81" s="364"/>
      <c r="T81" s="364"/>
      <c r="U81" s="364"/>
      <c r="V81" s="364"/>
      <c r="W81" s="364"/>
      <c r="X81" s="364"/>
      <c r="Y81" s="364"/>
      <c r="Z81" s="364"/>
      <c r="AA81" s="364"/>
      <c r="AB81" s="364"/>
      <c r="AC81" s="364"/>
      <c r="AD81" s="364"/>
      <c r="AE81" s="364"/>
      <c r="AF81" s="364"/>
      <c r="AG81" s="130"/>
      <c r="AH81" s="130"/>
      <c r="AI81" s="365"/>
      <c r="AJ81" s="366"/>
      <c r="AK81" s="130"/>
      <c r="AL81" s="130"/>
      <c r="AM81" s="130"/>
      <c r="AN81" s="136">
        <f t="shared" si="14"/>
        <v>0</v>
      </c>
      <c r="AO81" s="57" t="e">
        <f>((#REF!+#REF!+#REF!+#REF!+#REF!+#REF!+#REF!)*'assessoria- realizado por item'!AN81)-M81-N81</f>
        <v>#REF!</v>
      </c>
      <c r="AP81" s="57" t="e">
        <f>(#REF!*'assessoria- realizado por item'!AN81)-K81</f>
        <v>#REF!</v>
      </c>
      <c r="AQ81" s="57" t="e">
        <f>(#REF!+#REF!+#REF!+#REF!+#REF!+#REF!+#REF!+#REF!+#REF!+#REF!+#REF!+#REF!+#REF!+#REF!+#REF!+#REF!+#REF!+#REF!+#REF!+#REF!)*AN81</f>
        <v>#REF!</v>
      </c>
      <c r="AR81" s="57" t="e">
        <f t="shared" si="8"/>
        <v>#REF!</v>
      </c>
      <c r="AS81" s="57" t="e">
        <f t="shared" si="9"/>
        <v>#REF!</v>
      </c>
      <c r="AT81" s="57" t="e">
        <f t="shared" si="10"/>
        <v>#REF!</v>
      </c>
      <c r="AU81" s="57" t="e">
        <f t="shared" si="11"/>
        <v>#REF!</v>
      </c>
      <c r="AV81" s="57" t="e">
        <f t="shared" si="12"/>
        <v>#REF!</v>
      </c>
      <c r="AW81" s="57" t="e">
        <f t="shared" si="13"/>
        <v>#REF!</v>
      </c>
    </row>
    <row r="82" spans="1:49" x14ac:dyDescent="0.3">
      <c r="A82" s="130"/>
      <c r="B82" s="130"/>
      <c r="C82" s="130"/>
      <c r="D82" s="130"/>
      <c r="E82" s="130"/>
      <c r="F82" s="130"/>
      <c r="G82" s="130"/>
      <c r="H82" s="130"/>
      <c r="I82" s="130"/>
      <c r="J82" s="130"/>
      <c r="K82" s="130"/>
      <c r="L82" s="130"/>
      <c r="M82" s="130"/>
      <c r="N82" s="130"/>
      <c r="O82" s="130"/>
      <c r="P82" s="130"/>
      <c r="Q82" s="364"/>
      <c r="R82" s="364"/>
      <c r="S82" s="364"/>
      <c r="T82" s="364"/>
      <c r="U82" s="364"/>
      <c r="V82" s="364"/>
      <c r="W82" s="364"/>
      <c r="X82" s="364"/>
      <c r="Y82" s="364"/>
      <c r="Z82" s="364"/>
      <c r="AA82" s="364"/>
      <c r="AB82" s="364"/>
      <c r="AC82" s="364"/>
      <c r="AD82" s="364"/>
      <c r="AE82" s="364"/>
      <c r="AF82" s="364"/>
      <c r="AG82" s="130"/>
      <c r="AH82" s="130"/>
      <c r="AI82" s="365"/>
      <c r="AJ82" s="366"/>
      <c r="AK82" s="130"/>
      <c r="AL82" s="130"/>
      <c r="AM82" s="130"/>
      <c r="AN82" s="136">
        <f t="shared" si="14"/>
        <v>0</v>
      </c>
      <c r="AO82" s="57" t="e">
        <f>((#REF!+#REF!+#REF!+#REF!+#REF!+#REF!+#REF!)*'assessoria- realizado por item'!AN82)-M82-N82</f>
        <v>#REF!</v>
      </c>
      <c r="AP82" s="57" t="e">
        <f>(#REF!*'assessoria- realizado por item'!AN82)-K82</f>
        <v>#REF!</v>
      </c>
      <c r="AQ82" s="57" t="e">
        <f>(#REF!+#REF!+#REF!+#REF!+#REF!+#REF!+#REF!+#REF!+#REF!+#REF!+#REF!+#REF!+#REF!+#REF!+#REF!+#REF!+#REF!+#REF!+#REF!+#REF!)*AN82</f>
        <v>#REF!</v>
      </c>
      <c r="AR82" s="57" t="e">
        <f t="shared" si="8"/>
        <v>#REF!</v>
      </c>
      <c r="AS82" s="57" t="e">
        <f t="shared" si="9"/>
        <v>#REF!</v>
      </c>
      <c r="AT82" s="57" t="e">
        <f t="shared" si="10"/>
        <v>#REF!</v>
      </c>
      <c r="AU82" s="57" t="e">
        <f t="shared" si="11"/>
        <v>#REF!</v>
      </c>
      <c r="AV82" s="57" t="e">
        <f t="shared" si="12"/>
        <v>#REF!</v>
      </c>
      <c r="AW82" s="57" t="e">
        <f t="shared" si="13"/>
        <v>#REF!</v>
      </c>
    </row>
    <row r="83" spans="1:49" x14ac:dyDescent="0.3">
      <c r="A83" s="130"/>
      <c r="B83" s="130"/>
      <c r="C83" s="130"/>
      <c r="D83" s="130"/>
      <c r="E83" s="130"/>
      <c r="F83" s="130"/>
      <c r="G83" s="130"/>
      <c r="H83" s="130"/>
      <c r="I83" s="130"/>
      <c r="J83" s="130"/>
      <c r="K83" s="130"/>
      <c r="L83" s="130"/>
      <c r="M83" s="130"/>
      <c r="N83" s="130"/>
      <c r="O83" s="130"/>
      <c r="P83" s="130"/>
      <c r="Q83" s="364"/>
      <c r="R83" s="364"/>
      <c r="S83" s="364"/>
      <c r="T83" s="364"/>
      <c r="U83" s="364"/>
      <c r="V83" s="364"/>
      <c r="W83" s="364"/>
      <c r="X83" s="364"/>
      <c r="Y83" s="364"/>
      <c r="Z83" s="364"/>
      <c r="AA83" s="364"/>
      <c r="AB83" s="364"/>
      <c r="AC83" s="364"/>
      <c r="AD83" s="364"/>
      <c r="AE83" s="364"/>
      <c r="AF83" s="364"/>
      <c r="AG83" s="130"/>
      <c r="AH83" s="130"/>
      <c r="AI83" s="365"/>
      <c r="AJ83" s="366"/>
      <c r="AK83" s="130"/>
      <c r="AL83" s="130"/>
      <c r="AM83" s="130"/>
      <c r="AN83" s="136">
        <f t="shared" si="14"/>
        <v>0</v>
      </c>
      <c r="AO83" s="57" t="e">
        <f>((#REF!+#REF!+#REF!+#REF!+#REF!+#REF!+#REF!)*'assessoria- realizado por item'!AN83)-M83-N83</f>
        <v>#REF!</v>
      </c>
      <c r="AP83" s="57" t="e">
        <f>(#REF!*'assessoria- realizado por item'!AN83)-K83</f>
        <v>#REF!</v>
      </c>
      <c r="AQ83" s="57" t="e">
        <f>(#REF!+#REF!+#REF!+#REF!+#REF!+#REF!+#REF!+#REF!+#REF!+#REF!+#REF!+#REF!+#REF!+#REF!+#REF!+#REF!+#REF!+#REF!+#REF!+#REF!)*AN83</f>
        <v>#REF!</v>
      </c>
      <c r="AR83" s="57" t="e">
        <f t="shared" si="8"/>
        <v>#REF!</v>
      </c>
      <c r="AS83" s="57" t="e">
        <f t="shared" si="9"/>
        <v>#REF!</v>
      </c>
      <c r="AT83" s="57" t="e">
        <f t="shared" si="10"/>
        <v>#REF!</v>
      </c>
      <c r="AU83" s="57" t="e">
        <f t="shared" si="11"/>
        <v>#REF!</v>
      </c>
      <c r="AV83" s="57" t="e">
        <f t="shared" si="12"/>
        <v>#REF!</v>
      </c>
      <c r="AW83" s="57" t="e">
        <f t="shared" si="13"/>
        <v>#REF!</v>
      </c>
    </row>
    <row r="84" spans="1:49" x14ac:dyDescent="0.3">
      <c r="A84" s="130"/>
      <c r="B84" s="130"/>
      <c r="C84" s="130"/>
      <c r="D84" s="130"/>
      <c r="E84" s="130"/>
      <c r="F84" s="130"/>
      <c r="G84" s="130"/>
      <c r="H84" s="130"/>
      <c r="I84" s="130"/>
      <c r="J84" s="130"/>
      <c r="K84" s="130"/>
      <c r="L84" s="130"/>
      <c r="M84" s="130"/>
      <c r="N84" s="130"/>
      <c r="O84" s="130"/>
      <c r="P84" s="130"/>
      <c r="Q84" s="364"/>
      <c r="R84" s="364"/>
      <c r="S84" s="364"/>
      <c r="T84" s="364"/>
      <c r="U84" s="364"/>
      <c r="V84" s="364"/>
      <c r="W84" s="364"/>
      <c r="X84" s="364"/>
      <c r="Y84" s="364"/>
      <c r="Z84" s="364"/>
      <c r="AA84" s="364"/>
      <c r="AB84" s="364"/>
      <c r="AC84" s="364"/>
      <c r="AD84" s="364"/>
      <c r="AE84" s="364"/>
      <c r="AF84" s="364"/>
      <c r="AG84" s="130"/>
      <c r="AH84" s="130"/>
      <c r="AI84" s="365"/>
      <c r="AJ84" s="366"/>
      <c r="AK84" s="130"/>
      <c r="AL84" s="130"/>
      <c r="AM84" s="130"/>
      <c r="AN84" s="136">
        <f t="shared" si="14"/>
        <v>0</v>
      </c>
      <c r="AO84" s="57" t="e">
        <f>((#REF!+#REF!+#REF!+#REF!+#REF!+#REF!+#REF!)*'assessoria- realizado por item'!AN84)-M84-N84</f>
        <v>#REF!</v>
      </c>
      <c r="AP84" s="57" t="e">
        <f>(#REF!*'assessoria- realizado por item'!AN84)-K84</f>
        <v>#REF!</v>
      </c>
      <c r="AQ84" s="57" t="e">
        <f>(#REF!+#REF!+#REF!+#REF!+#REF!+#REF!+#REF!+#REF!+#REF!+#REF!+#REF!+#REF!+#REF!+#REF!+#REF!+#REF!+#REF!+#REF!+#REF!+#REF!)*AN84</f>
        <v>#REF!</v>
      </c>
      <c r="AR84" s="57" t="e">
        <f t="shared" si="8"/>
        <v>#REF!</v>
      </c>
      <c r="AS84" s="57" t="e">
        <f t="shared" si="9"/>
        <v>#REF!</v>
      </c>
      <c r="AT84" s="57" t="e">
        <f t="shared" si="10"/>
        <v>#REF!</v>
      </c>
      <c r="AU84" s="57" t="e">
        <f t="shared" si="11"/>
        <v>#REF!</v>
      </c>
      <c r="AV84" s="57" t="e">
        <f t="shared" si="12"/>
        <v>#REF!</v>
      </c>
      <c r="AW84" s="57" t="e">
        <f t="shared" si="13"/>
        <v>#REF!</v>
      </c>
    </row>
    <row r="85" spans="1:49" x14ac:dyDescent="0.3">
      <c r="A85" s="130"/>
      <c r="B85" s="130"/>
      <c r="C85" s="130"/>
      <c r="D85" s="130"/>
      <c r="E85" s="130"/>
      <c r="F85" s="130"/>
      <c r="G85" s="130"/>
      <c r="H85" s="130"/>
      <c r="I85" s="130"/>
      <c r="J85" s="130"/>
      <c r="K85" s="130"/>
      <c r="L85" s="130"/>
      <c r="M85" s="130"/>
      <c r="N85" s="130"/>
      <c r="O85" s="130"/>
      <c r="P85" s="130"/>
      <c r="Q85" s="364"/>
      <c r="R85" s="364"/>
      <c r="S85" s="364"/>
      <c r="T85" s="364"/>
      <c r="U85" s="364"/>
      <c r="V85" s="364"/>
      <c r="W85" s="364"/>
      <c r="X85" s="364"/>
      <c r="Y85" s="364"/>
      <c r="Z85" s="364"/>
      <c r="AA85" s="364"/>
      <c r="AB85" s="364"/>
      <c r="AC85" s="364"/>
      <c r="AD85" s="364"/>
      <c r="AE85" s="364"/>
      <c r="AF85" s="364"/>
      <c r="AG85" s="130"/>
      <c r="AH85" s="130"/>
      <c r="AI85" s="365"/>
      <c r="AJ85" s="366"/>
      <c r="AK85" s="130"/>
      <c r="AL85" s="130"/>
      <c r="AM85" s="130"/>
      <c r="AN85" s="136">
        <f t="shared" si="14"/>
        <v>0</v>
      </c>
      <c r="AO85" s="57" t="e">
        <f>((#REF!+#REF!+#REF!+#REF!+#REF!+#REF!+#REF!)*'assessoria- realizado por item'!AN85)-M85-N85</f>
        <v>#REF!</v>
      </c>
      <c r="AP85" s="57" t="e">
        <f>(#REF!*'assessoria- realizado por item'!AN85)-K85</f>
        <v>#REF!</v>
      </c>
      <c r="AQ85" s="57" t="e">
        <f>(#REF!+#REF!+#REF!+#REF!+#REF!+#REF!+#REF!+#REF!+#REF!+#REF!+#REF!+#REF!+#REF!+#REF!+#REF!+#REF!+#REF!+#REF!+#REF!+#REF!)*AN85</f>
        <v>#REF!</v>
      </c>
      <c r="AR85" s="57" t="e">
        <f t="shared" ref="AR85:AR113" si="15">P85+S85+W85+AA85+AE85+AI85+AK85+AL85+AM85+AO85+AP85+AQ85</f>
        <v>#REF!</v>
      </c>
      <c r="AS85" s="57" t="e">
        <f t="shared" ref="AS85:AS113" si="16">AR85/E85</f>
        <v>#REF!</v>
      </c>
      <c r="AT85" s="57" t="e">
        <f t="shared" ref="AT85:AT113" si="17">AR85-W85-AI85</f>
        <v>#REF!</v>
      </c>
      <c r="AU85" s="57" t="e">
        <f t="shared" ref="AU85:AU113" si="18">AT85/E85</f>
        <v>#REF!</v>
      </c>
      <c r="AV85" s="57" t="e">
        <f t="shared" ref="AV85:AV113" si="19">AT85-AA85-(P85*9.65%)</f>
        <v>#REF!</v>
      </c>
      <c r="AW85" s="57" t="e">
        <f t="shared" ref="AW85:AW113" si="20">AV85/E85</f>
        <v>#REF!</v>
      </c>
    </row>
    <row r="86" spans="1:49" x14ac:dyDescent="0.3">
      <c r="A86" s="130"/>
      <c r="B86" s="130"/>
      <c r="C86" s="130"/>
      <c r="D86" s="130"/>
      <c r="E86" s="130"/>
      <c r="F86" s="130"/>
      <c r="G86" s="130"/>
      <c r="H86" s="130"/>
      <c r="I86" s="130"/>
      <c r="J86" s="130"/>
      <c r="K86" s="130"/>
      <c r="L86" s="130"/>
      <c r="M86" s="130"/>
      <c r="N86" s="130"/>
      <c r="O86" s="130"/>
      <c r="P86" s="130"/>
      <c r="Q86" s="364"/>
      <c r="R86" s="364"/>
      <c r="S86" s="364"/>
      <c r="T86" s="364"/>
      <c r="U86" s="364"/>
      <c r="V86" s="364"/>
      <c r="W86" s="364"/>
      <c r="X86" s="364"/>
      <c r="Y86" s="364"/>
      <c r="Z86" s="364"/>
      <c r="AA86" s="364"/>
      <c r="AB86" s="364"/>
      <c r="AC86" s="364"/>
      <c r="AD86" s="364"/>
      <c r="AE86" s="364"/>
      <c r="AF86" s="364"/>
      <c r="AG86" s="130"/>
      <c r="AH86" s="130"/>
      <c r="AI86" s="365"/>
      <c r="AJ86" s="366"/>
      <c r="AK86" s="130"/>
      <c r="AL86" s="130"/>
      <c r="AM86" s="130"/>
      <c r="AN86" s="136">
        <f t="shared" si="14"/>
        <v>0</v>
      </c>
      <c r="AO86" s="57" t="e">
        <f>((#REF!+#REF!+#REF!+#REF!+#REF!+#REF!+#REF!)*'assessoria- realizado por item'!AN86)-M86-N86</f>
        <v>#REF!</v>
      </c>
      <c r="AP86" s="57" t="e">
        <f>(#REF!*'assessoria- realizado por item'!AN86)-K86</f>
        <v>#REF!</v>
      </c>
      <c r="AQ86" s="57" t="e">
        <f>(#REF!+#REF!+#REF!+#REF!+#REF!+#REF!+#REF!+#REF!+#REF!+#REF!+#REF!+#REF!+#REF!+#REF!+#REF!+#REF!+#REF!+#REF!+#REF!+#REF!)*AN86</f>
        <v>#REF!</v>
      </c>
      <c r="AR86" s="57" t="e">
        <f t="shared" si="15"/>
        <v>#REF!</v>
      </c>
      <c r="AS86" s="57" t="e">
        <f t="shared" si="16"/>
        <v>#REF!</v>
      </c>
      <c r="AT86" s="57" t="e">
        <f t="shared" si="17"/>
        <v>#REF!</v>
      </c>
      <c r="AU86" s="57" t="e">
        <f t="shared" si="18"/>
        <v>#REF!</v>
      </c>
      <c r="AV86" s="57" t="e">
        <f t="shared" si="19"/>
        <v>#REF!</v>
      </c>
      <c r="AW86" s="57" t="e">
        <f t="shared" si="20"/>
        <v>#REF!</v>
      </c>
    </row>
    <row r="87" spans="1:49" x14ac:dyDescent="0.3">
      <c r="A87" s="130"/>
      <c r="B87" s="130"/>
      <c r="C87" s="130"/>
      <c r="D87" s="130"/>
      <c r="E87" s="130"/>
      <c r="F87" s="130"/>
      <c r="G87" s="130"/>
      <c r="H87" s="130"/>
      <c r="I87" s="130"/>
      <c r="J87" s="130"/>
      <c r="K87" s="130"/>
      <c r="L87" s="130"/>
      <c r="M87" s="130"/>
      <c r="N87" s="130"/>
      <c r="O87" s="130"/>
      <c r="P87" s="130"/>
      <c r="Q87" s="364"/>
      <c r="R87" s="364"/>
      <c r="S87" s="364"/>
      <c r="T87" s="364"/>
      <c r="U87" s="364"/>
      <c r="V87" s="364"/>
      <c r="W87" s="364"/>
      <c r="X87" s="364"/>
      <c r="Y87" s="364"/>
      <c r="Z87" s="364"/>
      <c r="AA87" s="364"/>
      <c r="AB87" s="364"/>
      <c r="AC87" s="364"/>
      <c r="AD87" s="364"/>
      <c r="AE87" s="364"/>
      <c r="AF87" s="364"/>
      <c r="AG87" s="130"/>
      <c r="AH87" s="130"/>
      <c r="AI87" s="365"/>
      <c r="AJ87" s="366"/>
      <c r="AK87" s="130"/>
      <c r="AL87" s="130"/>
      <c r="AM87" s="130"/>
      <c r="AN87" s="136">
        <f t="shared" si="14"/>
        <v>0</v>
      </c>
      <c r="AO87" s="57" t="e">
        <f>((#REF!+#REF!+#REF!+#REF!+#REF!+#REF!+#REF!)*'assessoria- realizado por item'!AN87)-M87-N87</f>
        <v>#REF!</v>
      </c>
      <c r="AP87" s="57" t="e">
        <f>(#REF!*'assessoria- realizado por item'!AN87)-K87</f>
        <v>#REF!</v>
      </c>
      <c r="AQ87" s="57" t="e">
        <f>(#REF!+#REF!+#REF!+#REF!+#REF!+#REF!+#REF!+#REF!+#REF!+#REF!+#REF!+#REF!+#REF!+#REF!+#REF!+#REF!+#REF!+#REF!+#REF!+#REF!)*AN87</f>
        <v>#REF!</v>
      </c>
      <c r="AR87" s="57" t="e">
        <f t="shared" si="15"/>
        <v>#REF!</v>
      </c>
      <c r="AS87" s="57" t="e">
        <f t="shared" si="16"/>
        <v>#REF!</v>
      </c>
      <c r="AT87" s="57" t="e">
        <f t="shared" si="17"/>
        <v>#REF!</v>
      </c>
      <c r="AU87" s="57" t="e">
        <f t="shared" si="18"/>
        <v>#REF!</v>
      </c>
      <c r="AV87" s="57" t="e">
        <f t="shared" si="19"/>
        <v>#REF!</v>
      </c>
      <c r="AW87" s="57" t="e">
        <f t="shared" si="20"/>
        <v>#REF!</v>
      </c>
    </row>
    <row r="88" spans="1:49" x14ac:dyDescent="0.3">
      <c r="A88" s="130"/>
      <c r="B88" s="130"/>
      <c r="C88" s="130"/>
      <c r="D88" s="130"/>
      <c r="E88" s="130"/>
      <c r="F88" s="130"/>
      <c r="G88" s="130"/>
      <c r="H88" s="130"/>
      <c r="I88" s="130"/>
      <c r="J88" s="130"/>
      <c r="K88" s="130"/>
      <c r="L88" s="130"/>
      <c r="M88" s="130"/>
      <c r="N88" s="130"/>
      <c r="O88" s="130"/>
      <c r="P88" s="130"/>
      <c r="Q88" s="364"/>
      <c r="R88" s="364"/>
      <c r="S88" s="364"/>
      <c r="T88" s="364"/>
      <c r="U88" s="364"/>
      <c r="V88" s="364"/>
      <c r="W88" s="364"/>
      <c r="X88" s="364"/>
      <c r="Y88" s="364"/>
      <c r="Z88" s="364"/>
      <c r="AA88" s="364"/>
      <c r="AB88" s="364"/>
      <c r="AC88" s="364"/>
      <c r="AD88" s="364"/>
      <c r="AE88" s="364"/>
      <c r="AF88" s="364"/>
      <c r="AG88" s="130"/>
      <c r="AH88" s="130"/>
      <c r="AI88" s="365"/>
      <c r="AJ88" s="366"/>
      <c r="AK88" s="130"/>
      <c r="AL88" s="130"/>
      <c r="AM88" s="130"/>
      <c r="AN88" s="136">
        <f t="shared" si="14"/>
        <v>0</v>
      </c>
      <c r="AO88" s="57" t="e">
        <f>((#REF!+#REF!+#REF!+#REF!+#REF!+#REF!+#REF!)*'assessoria- realizado por item'!AN88)-M88-N88</f>
        <v>#REF!</v>
      </c>
      <c r="AP88" s="57" t="e">
        <f>(#REF!*'assessoria- realizado por item'!AN88)-K88</f>
        <v>#REF!</v>
      </c>
      <c r="AQ88" s="57" t="e">
        <f>(#REF!+#REF!+#REF!+#REF!+#REF!+#REF!+#REF!+#REF!+#REF!+#REF!+#REF!+#REF!+#REF!+#REF!+#REF!+#REF!+#REF!+#REF!+#REF!+#REF!)*AN88</f>
        <v>#REF!</v>
      </c>
      <c r="AR88" s="57" t="e">
        <f t="shared" si="15"/>
        <v>#REF!</v>
      </c>
      <c r="AS88" s="57" t="e">
        <f t="shared" si="16"/>
        <v>#REF!</v>
      </c>
      <c r="AT88" s="57" t="e">
        <f t="shared" si="17"/>
        <v>#REF!</v>
      </c>
      <c r="AU88" s="57" t="e">
        <f t="shared" si="18"/>
        <v>#REF!</v>
      </c>
      <c r="AV88" s="57" t="e">
        <f t="shared" si="19"/>
        <v>#REF!</v>
      </c>
      <c r="AW88" s="57" t="e">
        <f t="shared" si="20"/>
        <v>#REF!</v>
      </c>
    </row>
    <row r="89" spans="1:49" x14ac:dyDescent="0.3">
      <c r="A89" s="130"/>
      <c r="B89" s="130"/>
      <c r="C89" s="130"/>
      <c r="D89" s="130"/>
      <c r="E89" s="130"/>
      <c r="F89" s="130"/>
      <c r="G89" s="130"/>
      <c r="H89" s="130"/>
      <c r="I89" s="130"/>
      <c r="J89" s="130"/>
      <c r="K89" s="130"/>
      <c r="L89" s="130"/>
      <c r="M89" s="130"/>
      <c r="N89" s="130"/>
      <c r="O89" s="130"/>
      <c r="P89" s="130"/>
      <c r="Q89" s="364"/>
      <c r="R89" s="364"/>
      <c r="S89" s="364"/>
      <c r="T89" s="364"/>
      <c r="U89" s="364"/>
      <c r="V89" s="364"/>
      <c r="W89" s="364"/>
      <c r="X89" s="364"/>
      <c r="Y89" s="364"/>
      <c r="Z89" s="364"/>
      <c r="AA89" s="364"/>
      <c r="AB89" s="364"/>
      <c r="AC89" s="364"/>
      <c r="AD89" s="364"/>
      <c r="AE89" s="364"/>
      <c r="AF89" s="364"/>
      <c r="AG89" s="130"/>
      <c r="AH89" s="130"/>
      <c r="AI89" s="365"/>
      <c r="AJ89" s="366"/>
      <c r="AK89" s="130"/>
      <c r="AL89" s="130"/>
      <c r="AM89" s="130"/>
      <c r="AN89" s="136">
        <f t="shared" si="14"/>
        <v>0</v>
      </c>
      <c r="AO89" s="57" t="e">
        <f>((#REF!+#REF!+#REF!+#REF!+#REF!+#REF!+#REF!)*'assessoria- realizado por item'!AN89)-M89-N89</f>
        <v>#REF!</v>
      </c>
      <c r="AP89" s="57" t="e">
        <f>(#REF!*'assessoria- realizado por item'!AN89)-K89</f>
        <v>#REF!</v>
      </c>
      <c r="AQ89" s="57" t="e">
        <f>(#REF!+#REF!+#REF!+#REF!+#REF!+#REF!+#REF!+#REF!+#REF!+#REF!+#REF!+#REF!+#REF!+#REF!+#REF!+#REF!+#REF!+#REF!+#REF!+#REF!)*AN89</f>
        <v>#REF!</v>
      </c>
      <c r="AR89" s="57" t="e">
        <f t="shared" si="15"/>
        <v>#REF!</v>
      </c>
      <c r="AS89" s="57" t="e">
        <f t="shared" si="16"/>
        <v>#REF!</v>
      </c>
      <c r="AT89" s="57" t="e">
        <f t="shared" si="17"/>
        <v>#REF!</v>
      </c>
      <c r="AU89" s="57" t="e">
        <f t="shared" si="18"/>
        <v>#REF!</v>
      </c>
      <c r="AV89" s="57" t="e">
        <f t="shared" si="19"/>
        <v>#REF!</v>
      </c>
      <c r="AW89" s="57" t="e">
        <f t="shared" si="20"/>
        <v>#REF!</v>
      </c>
    </row>
    <row r="90" spans="1:49" x14ac:dyDescent="0.3">
      <c r="A90" s="130"/>
      <c r="B90" s="130"/>
      <c r="C90" s="130"/>
      <c r="D90" s="130"/>
      <c r="E90" s="130"/>
      <c r="F90" s="130"/>
      <c r="G90" s="130"/>
      <c r="H90" s="130"/>
      <c r="I90" s="130"/>
      <c r="J90" s="130"/>
      <c r="K90" s="130"/>
      <c r="L90" s="130"/>
      <c r="M90" s="130"/>
      <c r="N90" s="130"/>
      <c r="O90" s="130"/>
      <c r="P90" s="130"/>
      <c r="Q90" s="364"/>
      <c r="R90" s="364"/>
      <c r="S90" s="364"/>
      <c r="T90" s="364"/>
      <c r="U90" s="364"/>
      <c r="V90" s="364"/>
      <c r="W90" s="364"/>
      <c r="X90" s="364"/>
      <c r="Y90" s="364"/>
      <c r="Z90" s="364"/>
      <c r="AA90" s="364"/>
      <c r="AB90" s="364"/>
      <c r="AC90" s="364"/>
      <c r="AD90" s="364"/>
      <c r="AE90" s="364"/>
      <c r="AF90" s="364"/>
      <c r="AG90" s="130"/>
      <c r="AH90" s="130"/>
      <c r="AI90" s="365"/>
      <c r="AJ90" s="366"/>
      <c r="AK90" s="130"/>
      <c r="AL90" s="130"/>
      <c r="AM90" s="130"/>
      <c r="AN90" s="136">
        <f t="shared" si="14"/>
        <v>0</v>
      </c>
      <c r="AO90" s="57" t="e">
        <f>((#REF!+#REF!+#REF!+#REF!+#REF!+#REF!+#REF!)*'assessoria- realizado por item'!AN90)-M90-N90</f>
        <v>#REF!</v>
      </c>
      <c r="AP90" s="57" t="e">
        <f>(#REF!*'assessoria- realizado por item'!AN90)-K90</f>
        <v>#REF!</v>
      </c>
      <c r="AQ90" s="57" t="e">
        <f>(#REF!+#REF!+#REF!+#REF!+#REF!+#REF!+#REF!+#REF!+#REF!+#REF!+#REF!+#REF!+#REF!+#REF!+#REF!+#REF!+#REF!+#REF!+#REF!+#REF!)*AN90</f>
        <v>#REF!</v>
      </c>
      <c r="AR90" s="57" t="e">
        <f t="shared" si="15"/>
        <v>#REF!</v>
      </c>
      <c r="AS90" s="57" t="e">
        <f t="shared" si="16"/>
        <v>#REF!</v>
      </c>
      <c r="AT90" s="57" t="e">
        <f t="shared" si="17"/>
        <v>#REF!</v>
      </c>
      <c r="AU90" s="57" t="e">
        <f t="shared" si="18"/>
        <v>#REF!</v>
      </c>
      <c r="AV90" s="57" t="e">
        <f t="shared" si="19"/>
        <v>#REF!</v>
      </c>
      <c r="AW90" s="57" t="e">
        <f t="shared" si="20"/>
        <v>#REF!</v>
      </c>
    </row>
    <row r="91" spans="1:49" x14ac:dyDescent="0.3">
      <c r="A91" s="130"/>
      <c r="B91" s="130"/>
      <c r="C91" s="130"/>
      <c r="D91" s="130"/>
      <c r="E91" s="130"/>
      <c r="F91" s="130"/>
      <c r="G91" s="130"/>
      <c r="H91" s="130"/>
      <c r="I91" s="130"/>
      <c r="J91" s="130"/>
      <c r="K91" s="130"/>
      <c r="L91" s="130"/>
      <c r="M91" s="130"/>
      <c r="N91" s="130"/>
      <c r="O91" s="130"/>
      <c r="P91" s="130"/>
      <c r="Q91" s="364"/>
      <c r="R91" s="364"/>
      <c r="S91" s="364"/>
      <c r="T91" s="364"/>
      <c r="U91" s="364"/>
      <c r="V91" s="364"/>
      <c r="W91" s="364"/>
      <c r="X91" s="364"/>
      <c r="Y91" s="364"/>
      <c r="Z91" s="364"/>
      <c r="AA91" s="364"/>
      <c r="AB91" s="364"/>
      <c r="AC91" s="364"/>
      <c r="AD91" s="364"/>
      <c r="AE91" s="364"/>
      <c r="AF91" s="364"/>
      <c r="AG91" s="130"/>
      <c r="AH91" s="130"/>
      <c r="AI91" s="365"/>
      <c r="AJ91" s="366"/>
      <c r="AK91" s="130"/>
      <c r="AL91" s="130"/>
      <c r="AM91" s="130"/>
      <c r="AN91" s="136">
        <f t="shared" si="14"/>
        <v>0</v>
      </c>
      <c r="AO91" s="57" t="e">
        <f>((#REF!+#REF!+#REF!+#REF!+#REF!+#REF!+#REF!)*'assessoria- realizado por item'!AN91)-M91-N91</f>
        <v>#REF!</v>
      </c>
      <c r="AP91" s="57" t="e">
        <f>(#REF!*'assessoria- realizado por item'!AN91)-K91</f>
        <v>#REF!</v>
      </c>
      <c r="AQ91" s="57" t="e">
        <f>(#REF!+#REF!+#REF!+#REF!+#REF!+#REF!+#REF!+#REF!+#REF!+#REF!+#REF!+#REF!+#REF!+#REF!+#REF!+#REF!+#REF!+#REF!+#REF!+#REF!)*AN91</f>
        <v>#REF!</v>
      </c>
      <c r="AR91" s="57" t="e">
        <f t="shared" si="15"/>
        <v>#REF!</v>
      </c>
      <c r="AS91" s="57" t="e">
        <f t="shared" si="16"/>
        <v>#REF!</v>
      </c>
      <c r="AT91" s="57" t="e">
        <f t="shared" si="17"/>
        <v>#REF!</v>
      </c>
      <c r="AU91" s="57" t="e">
        <f t="shared" si="18"/>
        <v>#REF!</v>
      </c>
      <c r="AV91" s="57" t="e">
        <f t="shared" si="19"/>
        <v>#REF!</v>
      </c>
      <c r="AW91" s="57" t="e">
        <f t="shared" si="20"/>
        <v>#REF!</v>
      </c>
    </row>
    <row r="92" spans="1:49" x14ac:dyDescent="0.3">
      <c r="A92" s="130"/>
      <c r="B92" s="130"/>
      <c r="C92" s="130"/>
      <c r="D92" s="130"/>
      <c r="E92" s="130"/>
      <c r="F92" s="130"/>
      <c r="G92" s="130"/>
      <c r="H92" s="130"/>
      <c r="I92" s="130"/>
      <c r="J92" s="130"/>
      <c r="K92" s="130"/>
      <c r="L92" s="130"/>
      <c r="M92" s="130"/>
      <c r="N92" s="130"/>
      <c r="O92" s="130"/>
      <c r="P92" s="130"/>
      <c r="Q92" s="364"/>
      <c r="R92" s="364"/>
      <c r="S92" s="364"/>
      <c r="T92" s="364"/>
      <c r="U92" s="364"/>
      <c r="V92" s="364"/>
      <c r="W92" s="364"/>
      <c r="X92" s="364"/>
      <c r="Y92" s="364"/>
      <c r="Z92" s="364"/>
      <c r="AA92" s="364"/>
      <c r="AB92" s="364"/>
      <c r="AC92" s="364"/>
      <c r="AD92" s="364"/>
      <c r="AE92" s="364"/>
      <c r="AF92" s="364"/>
      <c r="AG92" s="130"/>
      <c r="AH92" s="130"/>
      <c r="AI92" s="365"/>
      <c r="AJ92" s="366"/>
      <c r="AK92" s="130"/>
      <c r="AL92" s="130"/>
      <c r="AM92" s="130"/>
      <c r="AN92" s="136">
        <f t="shared" si="14"/>
        <v>0</v>
      </c>
      <c r="AO92" s="57" t="e">
        <f>((#REF!+#REF!+#REF!+#REF!+#REF!+#REF!+#REF!)*'assessoria- realizado por item'!AN92)-M92-N92</f>
        <v>#REF!</v>
      </c>
      <c r="AP92" s="57" t="e">
        <f>(#REF!*'assessoria- realizado por item'!AN92)-K92</f>
        <v>#REF!</v>
      </c>
      <c r="AQ92" s="57" t="e">
        <f>(#REF!+#REF!+#REF!+#REF!+#REF!+#REF!+#REF!+#REF!+#REF!+#REF!+#REF!+#REF!+#REF!+#REF!+#REF!+#REF!+#REF!+#REF!+#REF!+#REF!)*AN92</f>
        <v>#REF!</v>
      </c>
      <c r="AR92" s="57" t="e">
        <f t="shared" si="15"/>
        <v>#REF!</v>
      </c>
      <c r="AS92" s="57" t="e">
        <f t="shared" si="16"/>
        <v>#REF!</v>
      </c>
      <c r="AT92" s="57" t="e">
        <f t="shared" si="17"/>
        <v>#REF!</v>
      </c>
      <c r="AU92" s="57" t="e">
        <f t="shared" si="18"/>
        <v>#REF!</v>
      </c>
      <c r="AV92" s="57" t="e">
        <f t="shared" si="19"/>
        <v>#REF!</v>
      </c>
      <c r="AW92" s="57" t="e">
        <f t="shared" si="20"/>
        <v>#REF!</v>
      </c>
    </row>
    <row r="93" spans="1:49" x14ac:dyDescent="0.3">
      <c r="A93" s="130"/>
      <c r="B93" s="130"/>
      <c r="C93" s="130"/>
      <c r="D93" s="130"/>
      <c r="E93" s="130"/>
      <c r="F93" s="130"/>
      <c r="G93" s="130"/>
      <c r="H93" s="130"/>
      <c r="I93" s="130"/>
      <c r="J93" s="130"/>
      <c r="K93" s="130"/>
      <c r="L93" s="130"/>
      <c r="M93" s="130"/>
      <c r="N93" s="130"/>
      <c r="O93" s="130"/>
      <c r="P93" s="130"/>
      <c r="Q93" s="364"/>
      <c r="R93" s="364"/>
      <c r="S93" s="364"/>
      <c r="T93" s="364"/>
      <c r="U93" s="364"/>
      <c r="V93" s="364"/>
      <c r="W93" s="364"/>
      <c r="X93" s="364"/>
      <c r="Y93" s="364"/>
      <c r="Z93" s="364"/>
      <c r="AA93" s="364"/>
      <c r="AB93" s="364"/>
      <c r="AC93" s="364"/>
      <c r="AD93" s="364"/>
      <c r="AE93" s="364"/>
      <c r="AF93" s="364"/>
      <c r="AG93" s="130"/>
      <c r="AH93" s="130"/>
      <c r="AI93" s="365"/>
      <c r="AJ93" s="366"/>
      <c r="AK93" s="130"/>
      <c r="AL93" s="130"/>
      <c r="AM93" s="130"/>
      <c r="AN93" s="136">
        <f t="shared" si="14"/>
        <v>0</v>
      </c>
      <c r="AO93" s="57" t="e">
        <f>((#REF!+#REF!+#REF!+#REF!+#REF!+#REF!+#REF!)*'assessoria- realizado por item'!AN93)-M93-N93</f>
        <v>#REF!</v>
      </c>
      <c r="AP93" s="57" t="e">
        <f>(#REF!*'assessoria- realizado por item'!AN93)-K93</f>
        <v>#REF!</v>
      </c>
      <c r="AQ93" s="57" t="e">
        <f>(#REF!+#REF!+#REF!+#REF!+#REF!+#REF!+#REF!+#REF!+#REF!+#REF!+#REF!+#REF!+#REF!+#REF!+#REF!+#REF!+#REF!+#REF!+#REF!+#REF!)*AN93</f>
        <v>#REF!</v>
      </c>
      <c r="AR93" s="57" t="e">
        <f t="shared" si="15"/>
        <v>#REF!</v>
      </c>
      <c r="AS93" s="57" t="e">
        <f t="shared" si="16"/>
        <v>#REF!</v>
      </c>
      <c r="AT93" s="57" t="e">
        <f t="shared" si="17"/>
        <v>#REF!</v>
      </c>
      <c r="AU93" s="57" t="e">
        <f t="shared" si="18"/>
        <v>#REF!</v>
      </c>
      <c r="AV93" s="57" t="e">
        <f t="shared" si="19"/>
        <v>#REF!</v>
      </c>
      <c r="AW93" s="57" t="e">
        <f t="shared" si="20"/>
        <v>#REF!</v>
      </c>
    </row>
    <row r="94" spans="1:49" x14ac:dyDescent="0.3">
      <c r="A94" s="130"/>
      <c r="B94" s="130"/>
      <c r="C94" s="130"/>
      <c r="D94" s="130"/>
      <c r="E94" s="130"/>
      <c r="F94" s="130"/>
      <c r="G94" s="130"/>
      <c r="H94" s="130"/>
      <c r="I94" s="130"/>
      <c r="J94" s="130"/>
      <c r="K94" s="130"/>
      <c r="L94" s="130"/>
      <c r="M94" s="130"/>
      <c r="N94" s="130"/>
      <c r="O94" s="130"/>
      <c r="P94" s="130"/>
      <c r="Q94" s="364"/>
      <c r="R94" s="364"/>
      <c r="S94" s="364"/>
      <c r="T94" s="364"/>
      <c r="U94" s="364"/>
      <c r="V94" s="364"/>
      <c r="W94" s="364"/>
      <c r="X94" s="364"/>
      <c r="Y94" s="364"/>
      <c r="Z94" s="364"/>
      <c r="AA94" s="364"/>
      <c r="AB94" s="364"/>
      <c r="AC94" s="364"/>
      <c r="AD94" s="364"/>
      <c r="AE94" s="364"/>
      <c r="AF94" s="364"/>
      <c r="AG94" s="130"/>
      <c r="AH94" s="130"/>
      <c r="AI94" s="365"/>
      <c r="AJ94" s="366"/>
      <c r="AK94" s="130"/>
      <c r="AL94" s="130"/>
      <c r="AM94" s="130"/>
      <c r="AN94" s="136">
        <f t="shared" si="14"/>
        <v>0</v>
      </c>
      <c r="AO94" s="57" t="e">
        <f>((#REF!+#REF!+#REF!+#REF!+#REF!+#REF!+#REF!)*'assessoria- realizado por item'!AN94)-M94-N94</f>
        <v>#REF!</v>
      </c>
      <c r="AP94" s="57" t="e">
        <f>(#REF!*'assessoria- realizado por item'!AN94)-K94</f>
        <v>#REF!</v>
      </c>
      <c r="AQ94" s="57" t="e">
        <f>(#REF!+#REF!+#REF!+#REF!+#REF!+#REF!+#REF!+#REF!+#REF!+#REF!+#REF!+#REF!+#REF!+#REF!+#REF!+#REF!+#REF!+#REF!+#REF!+#REF!)*AN94</f>
        <v>#REF!</v>
      </c>
      <c r="AR94" s="57" t="e">
        <f t="shared" si="15"/>
        <v>#REF!</v>
      </c>
      <c r="AS94" s="57" t="e">
        <f t="shared" si="16"/>
        <v>#REF!</v>
      </c>
      <c r="AT94" s="57" t="e">
        <f t="shared" si="17"/>
        <v>#REF!</v>
      </c>
      <c r="AU94" s="57" t="e">
        <f t="shared" si="18"/>
        <v>#REF!</v>
      </c>
      <c r="AV94" s="57" t="e">
        <f t="shared" si="19"/>
        <v>#REF!</v>
      </c>
      <c r="AW94" s="57" t="e">
        <f t="shared" si="20"/>
        <v>#REF!</v>
      </c>
    </row>
    <row r="95" spans="1:49" x14ac:dyDescent="0.3">
      <c r="A95" s="130"/>
      <c r="B95" s="130"/>
      <c r="C95" s="130"/>
      <c r="D95" s="130"/>
      <c r="E95" s="130"/>
      <c r="F95" s="130"/>
      <c r="G95" s="130"/>
      <c r="H95" s="130"/>
      <c r="I95" s="130"/>
      <c r="J95" s="130"/>
      <c r="K95" s="130"/>
      <c r="L95" s="130"/>
      <c r="M95" s="130"/>
      <c r="N95" s="130"/>
      <c r="O95" s="130"/>
      <c r="P95" s="130"/>
      <c r="Q95" s="364"/>
      <c r="R95" s="364"/>
      <c r="S95" s="364"/>
      <c r="T95" s="364"/>
      <c r="U95" s="364"/>
      <c r="V95" s="364"/>
      <c r="W95" s="364"/>
      <c r="X95" s="364"/>
      <c r="Y95" s="364"/>
      <c r="Z95" s="364"/>
      <c r="AA95" s="364"/>
      <c r="AB95" s="364"/>
      <c r="AC95" s="364"/>
      <c r="AD95" s="364"/>
      <c r="AE95" s="364"/>
      <c r="AF95" s="364"/>
      <c r="AG95" s="130"/>
      <c r="AH95" s="130"/>
      <c r="AI95" s="365"/>
      <c r="AJ95" s="366"/>
      <c r="AK95" s="130"/>
      <c r="AL95" s="130"/>
      <c r="AM95" s="130"/>
      <c r="AN95" s="136">
        <f t="shared" si="14"/>
        <v>0</v>
      </c>
      <c r="AO95" s="57" t="e">
        <f>((#REF!+#REF!+#REF!+#REF!+#REF!+#REF!+#REF!)*'assessoria- realizado por item'!AN95)-M95-N95</f>
        <v>#REF!</v>
      </c>
      <c r="AP95" s="57" t="e">
        <f>(#REF!*'assessoria- realizado por item'!AN95)-K95</f>
        <v>#REF!</v>
      </c>
      <c r="AQ95" s="57" t="e">
        <f>(#REF!+#REF!+#REF!+#REF!+#REF!+#REF!+#REF!+#REF!+#REF!+#REF!+#REF!+#REF!+#REF!+#REF!+#REF!+#REF!+#REF!+#REF!+#REF!+#REF!)*AN95</f>
        <v>#REF!</v>
      </c>
      <c r="AR95" s="57" t="e">
        <f t="shared" si="15"/>
        <v>#REF!</v>
      </c>
      <c r="AS95" s="57" t="e">
        <f t="shared" si="16"/>
        <v>#REF!</v>
      </c>
      <c r="AT95" s="57" t="e">
        <f t="shared" si="17"/>
        <v>#REF!</v>
      </c>
      <c r="AU95" s="57" t="e">
        <f t="shared" si="18"/>
        <v>#REF!</v>
      </c>
      <c r="AV95" s="57" t="e">
        <f t="shared" si="19"/>
        <v>#REF!</v>
      </c>
      <c r="AW95" s="57" t="e">
        <f t="shared" si="20"/>
        <v>#REF!</v>
      </c>
    </row>
    <row r="96" spans="1:49" x14ac:dyDescent="0.3">
      <c r="A96" s="130"/>
      <c r="B96" s="130"/>
      <c r="C96" s="130"/>
      <c r="D96" s="130"/>
      <c r="E96" s="130"/>
      <c r="F96" s="130"/>
      <c r="G96" s="130"/>
      <c r="H96" s="130"/>
      <c r="I96" s="130"/>
      <c r="J96" s="130"/>
      <c r="K96" s="130"/>
      <c r="L96" s="130"/>
      <c r="M96" s="130"/>
      <c r="N96" s="130"/>
      <c r="O96" s="130"/>
      <c r="P96" s="130"/>
      <c r="Q96" s="364"/>
      <c r="R96" s="364"/>
      <c r="S96" s="364"/>
      <c r="T96" s="364"/>
      <c r="U96" s="364"/>
      <c r="V96" s="364"/>
      <c r="W96" s="364"/>
      <c r="X96" s="364"/>
      <c r="Y96" s="364"/>
      <c r="Z96" s="364"/>
      <c r="AA96" s="364"/>
      <c r="AB96" s="364"/>
      <c r="AC96" s="364"/>
      <c r="AD96" s="364"/>
      <c r="AE96" s="364"/>
      <c r="AF96" s="364"/>
      <c r="AG96" s="130"/>
      <c r="AH96" s="130"/>
      <c r="AI96" s="365"/>
      <c r="AJ96" s="366"/>
      <c r="AK96" s="130"/>
      <c r="AL96" s="130"/>
      <c r="AM96" s="130"/>
      <c r="AN96" s="136">
        <f t="shared" si="14"/>
        <v>0</v>
      </c>
      <c r="AO96" s="57" t="e">
        <f>((#REF!+#REF!+#REF!+#REF!+#REF!+#REF!+#REF!)*'assessoria- realizado por item'!AN96)-M96-N96</f>
        <v>#REF!</v>
      </c>
      <c r="AP96" s="57" t="e">
        <f>(#REF!*'assessoria- realizado por item'!AN96)-K96</f>
        <v>#REF!</v>
      </c>
      <c r="AQ96" s="57" t="e">
        <f>(#REF!+#REF!+#REF!+#REF!+#REF!+#REF!+#REF!+#REF!+#REF!+#REF!+#REF!+#REF!+#REF!+#REF!+#REF!+#REF!+#REF!+#REF!+#REF!+#REF!)*AN96</f>
        <v>#REF!</v>
      </c>
      <c r="AR96" s="57" t="e">
        <f t="shared" si="15"/>
        <v>#REF!</v>
      </c>
      <c r="AS96" s="57" t="e">
        <f t="shared" si="16"/>
        <v>#REF!</v>
      </c>
      <c r="AT96" s="57" t="e">
        <f t="shared" si="17"/>
        <v>#REF!</v>
      </c>
      <c r="AU96" s="57" t="e">
        <f t="shared" si="18"/>
        <v>#REF!</v>
      </c>
      <c r="AV96" s="57" t="e">
        <f t="shared" si="19"/>
        <v>#REF!</v>
      </c>
      <c r="AW96" s="57" t="e">
        <f t="shared" si="20"/>
        <v>#REF!</v>
      </c>
    </row>
    <row r="97" spans="1:49" x14ac:dyDescent="0.3">
      <c r="A97" s="130"/>
      <c r="B97" s="130"/>
      <c r="C97" s="130"/>
      <c r="D97" s="130"/>
      <c r="E97" s="130"/>
      <c r="F97" s="130"/>
      <c r="G97" s="130"/>
      <c r="H97" s="130"/>
      <c r="I97" s="130"/>
      <c r="J97" s="130"/>
      <c r="K97" s="130"/>
      <c r="L97" s="130"/>
      <c r="M97" s="130"/>
      <c r="N97" s="130"/>
      <c r="O97" s="130"/>
      <c r="P97" s="130"/>
      <c r="Q97" s="364"/>
      <c r="R97" s="364"/>
      <c r="S97" s="364"/>
      <c r="T97" s="364"/>
      <c r="U97" s="364"/>
      <c r="V97" s="364"/>
      <c r="W97" s="364"/>
      <c r="X97" s="364"/>
      <c r="Y97" s="364"/>
      <c r="Z97" s="364"/>
      <c r="AA97" s="364"/>
      <c r="AB97" s="364"/>
      <c r="AC97" s="364"/>
      <c r="AD97" s="364"/>
      <c r="AE97" s="364"/>
      <c r="AF97" s="364"/>
      <c r="AG97" s="130"/>
      <c r="AH97" s="130"/>
      <c r="AI97" s="365"/>
      <c r="AJ97" s="366"/>
      <c r="AK97" s="130"/>
      <c r="AL97" s="130"/>
      <c r="AM97" s="130"/>
      <c r="AN97" s="136">
        <f t="shared" si="14"/>
        <v>0</v>
      </c>
      <c r="AO97" s="57" t="e">
        <f>((#REF!+#REF!+#REF!+#REF!+#REF!+#REF!+#REF!)*'assessoria- realizado por item'!AN97)-M97-N97</f>
        <v>#REF!</v>
      </c>
      <c r="AP97" s="57" t="e">
        <f>(#REF!*'assessoria- realizado por item'!AN97)-K97</f>
        <v>#REF!</v>
      </c>
      <c r="AQ97" s="57" t="e">
        <f>(#REF!+#REF!+#REF!+#REF!+#REF!+#REF!+#REF!+#REF!+#REF!+#REF!+#REF!+#REF!+#REF!+#REF!+#REF!+#REF!+#REF!+#REF!+#REF!+#REF!)*AN97</f>
        <v>#REF!</v>
      </c>
      <c r="AR97" s="57" t="e">
        <f t="shared" si="15"/>
        <v>#REF!</v>
      </c>
      <c r="AS97" s="57" t="e">
        <f t="shared" si="16"/>
        <v>#REF!</v>
      </c>
      <c r="AT97" s="57" t="e">
        <f t="shared" si="17"/>
        <v>#REF!</v>
      </c>
      <c r="AU97" s="57" t="e">
        <f t="shared" si="18"/>
        <v>#REF!</v>
      </c>
      <c r="AV97" s="57" t="e">
        <f t="shared" si="19"/>
        <v>#REF!</v>
      </c>
      <c r="AW97" s="57" t="e">
        <f t="shared" si="20"/>
        <v>#REF!</v>
      </c>
    </row>
    <row r="98" spans="1:49" x14ac:dyDescent="0.3">
      <c r="A98" s="130"/>
      <c r="B98" s="130"/>
      <c r="C98" s="130"/>
      <c r="D98" s="130"/>
      <c r="E98" s="130"/>
      <c r="F98" s="130"/>
      <c r="G98" s="130"/>
      <c r="H98" s="130"/>
      <c r="I98" s="130"/>
      <c r="J98" s="130"/>
      <c r="K98" s="130"/>
      <c r="L98" s="130"/>
      <c r="M98" s="130"/>
      <c r="N98" s="130"/>
      <c r="O98" s="130"/>
      <c r="P98" s="130"/>
      <c r="Q98" s="364"/>
      <c r="R98" s="364"/>
      <c r="S98" s="364"/>
      <c r="T98" s="364"/>
      <c r="U98" s="364"/>
      <c r="V98" s="364"/>
      <c r="W98" s="364"/>
      <c r="X98" s="364"/>
      <c r="Y98" s="364"/>
      <c r="Z98" s="364"/>
      <c r="AA98" s="364"/>
      <c r="AB98" s="364"/>
      <c r="AC98" s="364"/>
      <c r="AD98" s="364"/>
      <c r="AE98" s="364"/>
      <c r="AF98" s="364"/>
      <c r="AG98" s="130"/>
      <c r="AH98" s="130"/>
      <c r="AI98" s="365"/>
      <c r="AJ98" s="366"/>
      <c r="AK98" s="130"/>
      <c r="AL98" s="130"/>
      <c r="AM98" s="130"/>
      <c r="AN98" s="136">
        <f t="shared" si="14"/>
        <v>0</v>
      </c>
      <c r="AO98" s="57" t="e">
        <f>((#REF!+#REF!+#REF!+#REF!+#REF!+#REF!+#REF!)*'assessoria- realizado por item'!AN98)-M98-N98</f>
        <v>#REF!</v>
      </c>
      <c r="AP98" s="57" t="e">
        <f>(#REF!*'assessoria- realizado por item'!AN98)-K98</f>
        <v>#REF!</v>
      </c>
      <c r="AQ98" s="57" t="e">
        <f>(#REF!+#REF!+#REF!+#REF!+#REF!+#REF!+#REF!+#REF!+#REF!+#REF!+#REF!+#REF!+#REF!+#REF!+#REF!+#REF!+#REF!+#REF!+#REF!+#REF!)*AN98</f>
        <v>#REF!</v>
      </c>
      <c r="AR98" s="57" t="e">
        <f t="shared" si="15"/>
        <v>#REF!</v>
      </c>
      <c r="AS98" s="57" t="e">
        <f t="shared" si="16"/>
        <v>#REF!</v>
      </c>
      <c r="AT98" s="57" t="e">
        <f t="shared" si="17"/>
        <v>#REF!</v>
      </c>
      <c r="AU98" s="57" t="e">
        <f t="shared" si="18"/>
        <v>#REF!</v>
      </c>
      <c r="AV98" s="57" t="e">
        <f t="shared" si="19"/>
        <v>#REF!</v>
      </c>
      <c r="AW98" s="57" t="e">
        <f t="shared" si="20"/>
        <v>#REF!</v>
      </c>
    </row>
    <row r="99" spans="1:49" x14ac:dyDescent="0.3">
      <c r="A99" s="130"/>
      <c r="B99" s="130"/>
      <c r="C99" s="130"/>
      <c r="D99" s="130"/>
      <c r="E99" s="130"/>
      <c r="F99" s="130"/>
      <c r="G99" s="130"/>
      <c r="H99" s="130"/>
      <c r="I99" s="130"/>
      <c r="J99" s="130"/>
      <c r="K99" s="130"/>
      <c r="L99" s="130"/>
      <c r="M99" s="130"/>
      <c r="N99" s="130"/>
      <c r="O99" s="130"/>
      <c r="P99" s="130"/>
      <c r="Q99" s="364"/>
      <c r="R99" s="364"/>
      <c r="S99" s="364"/>
      <c r="T99" s="364"/>
      <c r="U99" s="364"/>
      <c r="V99" s="364"/>
      <c r="W99" s="364"/>
      <c r="X99" s="364"/>
      <c r="Y99" s="364"/>
      <c r="Z99" s="364"/>
      <c r="AA99" s="364"/>
      <c r="AB99" s="364"/>
      <c r="AC99" s="364"/>
      <c r="AD99" s="364"/>
      <c r="AE99" s="364"/>
      <c r="AF99" s="364"/>
      <c r="AG99" s="130"/>
      <c r="AH99" s="130"/>
      <c r="AI99" s="365"/>
      <c r="AJ99" s="366"/>
      <c r="AK99" s="130"/>
      <c r="AL99" s="130"/>
      <c r="AM99" s="130"/>
      <c r="AN99" s="136">
        <f t="shared" si="14"/>
        <v>0</v>
      </c>
      <c r="AO99" s="57" t="e">
        <f>((#REF!+#REF!+#REF!+#REF!+#REF!+#REF!+#REF!)*'assessoria- realizado por item'!AN99)-M99-N99</f>
        <v>#REF!</v>
      </c>
      <c r="AP99" s="57" t="e">
        <f>(#REF!*'assessoria- realizado por item'!AN99)-K99</f>
        <v>#REF!</v>
      </c>
      <c r="AQ99" s="57" t="e">
        <f>(#REF!+#REF!+#REF!+#REF!+#REF!+#REF!+#REF!+#REF!+#REF!+#REF!+#REF!+#REF!+#REF!+#REF!+#REF!+#REF!+#REF!+#REF!+#REF!+#REF!)*AN99</f>
        <v>#REF!</v>
      </c>
      <c r="AR99" s="57" t="e">
        <f t="shared" si="15"/>
        <v>#REF!</v>
      </c>
      <c r="AS99" s="57" t="e">
        <f t="shared" si="16"/>
        <v>#REF!</v>
      </c>
      <c r="AT99" s="57" t="e">
        <f t="shared" si="17"/>
        <v>#REF!</v>
      </c>
      <c r="AU99" s="57" t="e">
        <f t="shared" si="18"/>
        <v>#REF!</v>
      </c>
      <c r="AV99" s="57" t="e">
        <f t="shared" si="19"/>
        <v>#REF!</v>
      </c>
      <c r="AW99" s="57" t="e">
        <f t="shared" si="20"/>
        <v>#REF!</v>
      </c>
    </row>
    <row r="100" spans="1:49" x14ac:dyDescent="0.3">
      <c r="A100" s="130"/>
      <c r="B100" s="130"/>
      <c r="C100" s="130"/>
      <c r="D100" s="130"/>
      <c r="E100" s="130"/>
      <c r="F100" s="130"/>
      <c r="G100" s="130"/>
      <c r="H100" s="130"/>
      <c r="I100" s="130"/>
      <c r="J100" s="130"/>
      <c r="K100" s="130"/>
      <c r="L100" s="130"/>
      <c r="M100" s="130"/>
      <c r="N100" s="130"/>
      <c r="O100" s="130"/>
      <c r="P100" s="130"/>
      <c r="Q100" s="364"/>
      <c r="R100" s="364"/>
      <c r="S100" s="364"/>
      <c r="T100" s="364"/>
      <c r="U100" s="364"/>
      <c r="V100" s="364"/>
      <c r="W100" s="364"/>
      <c r="X100" s="364"/>
      <c r="Y100" s="364"/>
      <c r="Z100" s="364"/>
      <c r="AA100" s="364"/>
      <c r="AB100" s="364"/>
      <c r="AC100" s="364"/>
      <c r="AD100" s="364"/>
      <c r="AE100" s="364"/>
      <c r="AF100" s="364"/>
      <c r="AG100" s="130"/>
      <c r="AH100" s="130"/>
      <c r="AI100" s="365"/>
      <c r="AJ100" s="366"/>
      <c r="AK100" s="130"/>
      <c r="AL100" s="130"/>
      <c r="AM100" s="130"/>
      <c r="AN100" s="136">
        <f t="shared" si="14"/>
        <v>0</v>
      </c>
      <c r="AO100" s="57" t="e">
        <f>((#REF!+#REF!+#REF!+#REF!+#REF!+#REF!+#REF!)*'assessoria- realizado por item'!AN100)-M100-N100</f>
        <v>#REF!</v>
      </c>
      <c r="AP100" s="57" t="e">
        <f>(#REF!*'assessoria- realizado por item'!AN100)-K100</f>
        <v>#REF!</v>
      </c>
      <c r="AQ100" s="57" t="e">
        <f>(#REF!+#REF!+#REF!+#REF!+#REF!+#REF!+#REF!+#REF!+#REF!+#REF!+#REF!+#REF!+#REF!+#REF!+#REF!+#REF!+#REF!+#REF!+#REF!+#REF!)*AN100</f>
        <v>#REF!</v>
      </c>
      <c r="AR100" s="57" t="e">
        <f t="shared" si="15"/>
        <v>#REF!</v>
      </c>
      <c r="AS100" s="57" t="e">
        <f t="shared" si="16"/>
        <v>#REF!</v>
      </c>
      <c r="AT100" s="57" t="e">
        <f t="shared" si="17"/>
        <v>#REF!</v>
      </c>
      <c r="AU100" s="57" t="e">
        <f t="shared" si="18"/>
        <v>#REF!</v>
      </c>
      <c r="AV100" s="57" t="e">
        <f t="shared" si="19"/>
        <v>#REF!</v>
      </c>
      <c r="AW100" s="57" t="e">
        <f t="shared" si="20"/>
        <v>#REF!</v>
      </c>
    </row>
    <row r="101" spans="1:49" x14ac:dyDescent="0.3">
      <c r="A101" s="130"/>
      <c r="B101" s="130"/>
      <c r="C101" s="130"/>
      <c r="D101" s="130"/>
      <c r="E101" s="130"/>
      <c r="F101" s="130"/>
      <c r="G101" s="130"/>
      <c r="H101" s="130"/>
      <c r="I101" s="130"/>
      <c r="J101" s="130"/>
      <c r="K101" s="130"/>
      <c r="L101" s="130"/>
      <c r="M101" s="130"/>
      <c r="N101" s="130"/>
      <c r="O101" s="130"/>
      <c r="P101" s="130"/>
      <c r="Q101" s="364"/>
      <c r="R101" s="364"/>
      <c r="S101" s="364"/>
      <c r="T101" s="364"/>
      <c r="U101" s="364"/>
      <c r="V101" s="364"/>
      <c r="W101" s="364"/>
      <c r="X101" s="364"/>
      <c r="Y101" s="364"/>
      <c r="Z101" s="364"/>
      <c r="AA101" s="364"/>
      <c r="AB101" s="364"/>
      <c r="AC101" s="364"/>
      <c r="AD101" s="364"/>
      <c r="AE101" s="364"/>
      <c r="AF101" s="364"/>
      <c r="AG101" s="130"/>
      <c r="AH101" s="130"/>
      <c r="AI101" s="365"/>
      <c r="AJ101" s="366"/>
      <c r="AK101" s="130"/>
      <c r="AL101" s="130"/>
      <c r="AM101" s="130"/>
      <c r="AN101" s="136">
        <f t="shared" si="14"/>
        <v>0</v>
      </c>
      <c r="AO101" s="57" t="e">
        <f>((#REF!+#REF!+#REF!+#REF!+#REF!+#REF!+#REF!)*'assessoria- realizado por item'!AN101)-M101-N101</f>
        <v>#REF!</v>
      </c>
      <c r="AP101" s="57" t="e">
        <f>(#REF!*'assessoria- realizado por item'!AN101)-K101</f>
        <v>#REF!</v>
      </c>
      <c r="AQ101" s="57" t="e">
        <f>(#REF!+#REF!+#REF!+#REF!+#REF!+#REF!+#REF!+#REF!+#REF!+#REF!+#REF!+#REF!+#REF!+#REF!+#REF!+#REF!+#REF!+#REF!+#REF!+#REF!)*AN101</f>
        <v>#REF!</v>
      </c>
      <c r="AR101" s="57" t="e">
        <f t="shared" si="15"/>
        <v>#REF!</v>
      </c>
      <c r="AS101" s="57" t="e">
        <f t="shared" si="16"/>
        <v>#REF!</v>
      </c>
      <c r="AT101" s="57" t="e">
        <f t="shared" si="17"/>
        <v>#REF!</v>
      </c>
      <c r="AU101" s="57" t="e">
        <f t="shared" si="18"/>
        <v>#REF!</v>
      </c>
      <c r="AV101" s="57" t="e">
        <f t="shared" si="19"/>
        <v>#REF!</v>
      </c>
      <c r="AW101" s="57" t="e">
        <f t="shared" si="20"/>
        <v>#REF!</v>
      </c>
    </row>
    <row r="102" spans="1:49" x14ac:dyDescent="0.3">
      <c r="A102" s="130"/>
      <c r="B102" s="130"/>
      <c r="C102" s="130"/>
      <c r="D102" s="130"/>
      <c r="E102" s="130"/>
      <c r="F102" s="130"/>
      <c r="G102" s="130"/>
      <c r="H102" s="130"/>
      <c r="I102" s="130"/>
      <c r="J102" s="130"/>
      <c r="K102" s="130"/>
      <c r="L102" s="130"/>
      <c r="M102" s="130"/>
      <c r="N102" s="130"/>
      <c r="O102" s="130"/>
      <c r="P102" s="130"/>
      <c r="Q102" s="364"/>
      <c r="R102" s="364"/>
      <c r="S102" s="364"/>
      <c r="T102" s="364"/>
      <c r="U102" s="364"/>
      <c r="V102" s="364"/>
      <c r="W102" s="364"/>
      <c r="X102" s="364"/>
      <c r="Y102" s="364"/>
      <c r="Z102" s="364"/>
      <c r="AA102" s="364"/>
      <c r="AB102" s="364"/>
      <c r="AC102" s="364"/>
      <c r="AD102" s="364"/>
      <c r="AE102" s="364"/>
      <c r="AF102" s="364"/>
      <c r="AG102" s="130"/>
      <c r="AH102" s="130"/>
      <c r="AI102" s="365"/>
      <c r="AJ102" s="366"/>
      <c r="AK102" s="130"/>
      <c r="AL102" s="130"/>
      <c r="AM102" s="130"/>
      <c r="AN102" s="136">
        <f t="shared" si="14"/>
        <v>0</v>
      </c>
      <c r="AO102" s="57" t="e">
        <f>((#REF!+#REF!+#REF!+#REF!+#REF!+#REF!+#REF!)*'assessoria- realizado por item'!AN102)-M102-N102</f>
        <v>#REF!</v>
      </c>
      <c r="AP102" s="57" t="e">
        <f>(#REF!*'assessoria- realizado por item'!AN102)-K102</f>
        <v>#REF!</v>
      </c>
      <c r="AQ102" s="57" t="e">
        <f>(#REF!+#REF!+#REF!+#REF!+#REF!+#REF!+#REF!+#REF!+#REF!+#REF!+#REF!+#REF!+#REF!+#REF!+#REF!+#REF!+#REF!+#REF!+#REF!+#REF!)*AN102</f>
        <v>#REF!</v>
      </c>
      <c r="AR102" s="57" t="e">
        <f t="shared" si="15"/>
        <v>#REF!</v>
      </c>
      <c r="AS102" s="57" t="e">
        <f t="shared" si="16"/>
        <v>#REF!</v>
      </c>
      <c r="AT102" s="57" t="e">
        <f t="shared" si="17"/>
        <v>#REF!</v>
      </c>
      <c r="AU102" s="57" t="e">
        <f t="shared" si="18"/>
        <v>#REF!</v>
      </c>
      <c r="AV102" s="57" t="e">
        <f t="shared" si="19"/>
        <v>#REF!</v>
      </c>
      <c r="AW102" s="57" t="e">
        <f t="shared" si="20"/>
        <v>#REF!</v>
      </c>
    </row>
    <row r="103" spans="1:49" x14ac:dyDescent="0.3">
      <c r="A103" s="130"/>
      <c r="B103" s="130"/>
      <c r="C103" s="130"/>
      <c r="D103" s="130"/>
      <c r="E103" s="130"/>
      <c r="F103" s="130"/>
      <c r="G103" s="130"/>
      <c r="H103" s="130"/>
      <c r="I103" s="130"/>
      <c r="J103" s="130"/>
      <c r="K103" s="130"/>
      <c r="L103" s="130"/>
      <c r="M103" s="130"/>
      <c r="N103" s="130"/>
      <c r="O103" s="130"/>
      <c r="P103" s="130"/>
      <c r="Q103" s="364"/>
      <c r="R103" s="364"/>
      <c r="S103" s="364"/>
      <c r="T103" s="364"/>
      <c r="U103" s="364"/>
      <c r="V103" s="364"/>
      <c r="W103" s="364"/>
      <c r="X103" s="364"/>
      <c r="Y103" s="364"/>
      <c r="Z103" s="364"/>
      <c r="AA103" s="364"/>
      <c r="AB103" s="364"/>
      <c r="AC103" s="364"/>
      <c r="AD103" s="364"/>
      <c r="AE103" s="364"/>
      <c r="AF103" s="364"/>
      <c r="AG103" s="130"/>
      <c r="AH103" s="130"/>
      <c r="AI103" s="365"/>
      <c r="AJ103" s="366"/>
      <c r="AK103" s="130"/>
      <c r="AL103" s="130"/>
      <c r="AM103" s="130"/>
      <c r="AN103" s="136">
        <f t="shared" si="14"/>
        <v>0</v>
      </c>
      <c r="AO103" s="57" t="e">
        <f>((#REF!+#REF!+#REF!+#REF!+#REF!+#REF!+#REF!)*'assessoria- realizado por item'!AN103)-M103-N103</f>
        <v>#REF!</v>
      </c>
      <c r="AP103" s="57" t="e">
        <f>(#REF!*'assessoria- realizado por item'!AN103)-K103</f>
        <v>#REF!</v>
      </c>
      <c r="AQ103" s="57" t="e">
        <f>(#REF!+#REF!+#REF!+#REF!+#REF!+#REF!+#REF!+#REF!+#REF!+#REF!+#REF!+#REF!+#REF!+#REF!+#REF!+#REF!+#REF!+#REF!+#REF!+#REF!)*AN103</f>
        <v>#REF!</v>
      </c>
      <c r="AR103" s="57" t="e">
        <f t="shared" si="15"/>
        <v>#REF!</v>
      </c>
      <c r="AS103" s="57" t="e">
        <f t="shared" si="16"/>
        <v>#REF!</v>
      </c>
      <c r="AT103" s="57" t="e">
        <f t="shared" si="17"/>
        <v>#REF!</v>
      </c>
      <c r="AU103" s="57" t="e">
        <f t="shared" si="18"/>
        <v>#REF!</v>
      </c>
      <c r="AV103" s="57" t="e">
        <f t="shared" si="19"/>
        <v>#REF!</v>
      </c>
      <c r="AW103" s="57" t="e">
        <f t="shared" si="20"/>
        <v>#REF!</v>
      </c>
    </row>
    <row r="104" spans="1:49" x14ac:dyDescent="0.3">
      <c r="A104" s="130"/>
      <c r="B104" s="130"/>
      <c r="C104" s="130"/>
      <c r="D104" s="130"/>
      <c r="E104" s="130"/>
      <c r="F104" s="130"/>
      <c r="G104" s="130"/>
      <c r="H104" s="130"/>
      <c r="I104" s="130"/>
      <c r="J104" s="130"/>
      <c r="K104" s="130"/>
      <c r="L104" s="130"/>
      <c r="M104" s="130"/>
      <c r="N104" s="130"/>
      <c r="O104" s="130"/>
      <c r="P104" s="130"/>
      <c r="Q104" s="364"/>
      <c r="R104" s="364"/>
      <c r="S104" s="364"/>
      <c r="T104" s="364"/>
      <c r="U104" s="364"/>
      <c r="V104" s="364"/>
      <c r="W104" s="364"/>
      <c r="X104" s="364"/>
      <c r="Y104" s="364"/>
      <c r="Z104" s="364"/>
      <c r="AA104" s="364"/>
      <c r="AB104" s="364"/>
      <c r="AC104" s="364"/>
      <c r="AD104" s="364"/>
      <c r="AE104" s="364"/>
      <c r="AF104" s="364"/>
      <c r="AG104" s="130"/>
      <c r="AH104" s="130"/>
      <c r="AI104" s="365"/>
      <c r="AJ104" s="366"/>
      <c r="AK104" s="130"/>
      <c r="AL104" s="130"/>
      <c r="AM104" s="130"/>
      <c r="AN104" s="136">
        <f t="shared" si="14"/>
        <v>0</v>
      </c>
      <c r="AO104" s="57" t="e">
        <f>((#REF!+#REF!+#REF!+#REF!+#REF!+#REF!+#REF!)*'assessoria- realizado por item'!AN104)-M104-N104</f>
        <v>#REF!</v>
      </c>
      <c r="AP104" s="57" t="e">
        <f>(#REF!*'assessoria- realizado por item'!AN104)-K104</f>
        <v>#REF!</v>
      </c>
      <c r="AQ104" s="57" t="e">
        <f>(#REF!+#REF!+#REF!+#REF!+#REF!+#REF!+#REF!+#REF!+#REF!+#REF!+#REF!+#REF!+#REF!+#REF!+#REF!+#REF!+#REF!+#REF!+#REF!+#REF!)*AN104</f>
        <v>#REF!</v>
      </c>
      <c r="AR104" s="57" t="e">
        <f t="shared" si="15"/>
        <v>#REF!</v>
      </c>
      <c r="AS104" s="57" t="e">
        <f t="shared" si="16"/>
        <v>#REF!</v>
      </c>
      <c r="AT104" s="57" t="e">
        <f t="shared" si="17"/>
        <v>#REF!</v>
      </c>
      <c r="AU104" s="57" t="e">
        <f t="shared" si="18"/>
        <v>#REF!</v>
      </c>
      <c r="AV104" s="57" t="e">
        <f t="shared" si="19"/>
        <v>#REF!</v>
      </c>
      <c r="AW104" s="57" t="e">
        <f t="shared" si="20"/>
        <v>#REF!</v>
      </c>
    </row>
    <row r="105" spans="1:49" x14ac:dyDescent="0.3">
      <c r="A105" s="130"/>
      <c r="B105" s="130"/>
      <c r="C105" s="130"/>
      <c r="D105" s="130"/>
      <c r="E105" s="130"/>
      <c r="F105" s="130"/>
      <c r="G105" s="130"/>
      <c r="H105" s="130"/>
      <c r="I105" s="130"/>
      <c r="J105" s="130"/>
      <c r="K105" s="130"/>
      <c r="L105" s="130"/>
      <c r="M105" s="130"/>
      <c r="N105" s="130"/>
      <c r="O105" s="130"/>
      <c r="P105" s="130"/>
      <c r="Q105" s="364"/>
      <c r="R105" s="364"/>
      <c r="S105" s="364"/>
      <c r="T105" s="364"/>
      <c r="U105" s="364"/>
      <c r="V105" s="364"/>
      <c r="W105" s="364"/>
      <c r="X105" s="364"/>
      <c r="Y105" s="364"/>
      <c r="Z105" s="364"/>
      <c r="AA105" s="364"/>
      <c r="AB105" s="364"/>
      <c r="AC105" s="364"/>
      <c r="AD105" s="364"/>
      <c r="AE105" s="364"/>
      <c r="AF105" s="364"/>
      <c r="AG105" s="130"/>
      <c r="AH105" s="130"/>
      <c r="AI105" s="365"/>
      <c r="AJ105" s="366"/>
      <c r="AK105" s="130"/>
      <c r="AL105" s="130"/>
      <c r="AM105" s="130"/>
      <c r="AN105" s="136">
        <f t="shared" si="14"/>
        <v>0</v>
      </c>
      <c r="AO105" s="57" t="e">
        <f>((#REF!+#REF!+#REF!+#REF!+#REF!+#REF!+#REF!)*'assessoria- realizado por item'!AN105)-M105-N105</f>
        <v>#REF!</v>
      </c>
      <c r="AP105" s="57" t="e">
        <f>(#REF!*'assessoria- realizado por item'!AN105)-K105</f>
        <v>#REF!</v>
      </c>
      <c r="AQ105" s="57" t="e">
        <f>(#REF!+#REF!+#REF!+#REF!+#REF!+#REF!+#REF!+#REF!+#REF!+#REF!+#REF!+#REF!+#REF!+#REF!+#REF!+#REF!+#REF!+#REF!+#REF!+#REF!)*AN105</f>
        <v>#REF!</v>
      </c>
      <c r="AR105" s="57" t="e">
        <f t="shared" si="15"/>
        <v>#REF!</v>
      </c>
      <c r="AS105" s="57" t="e">
        <f t="shared" si="16"/>
        <v>#REF!</v>
      </c>
      <c r="AT105" s="57" t="e">
        <f t="shared" si="17"/>
        <v>#REF!</v>
      </c>
      <c r="AU105" s="57" t="e">
        <f t="shared" si="18"/>
        <v>#REF!</v>
      </c>
      <c r="AV105" s="57" t="e">
        <f t="shared" si="19"/>
        <v>#REF!</v>
      </c>
      <c r="AW105" s="57" t="e">
        <f t="shared" si="20"/>
        <v>#REF!</v>
      </c>
    </row>
    <row r="106" spans="1:49" x14ac:dyDescent="0.3">
      <c r="A106" s="130"/>
      <c r="B106" s="130"/>
      <c r="C106" s="130"/>
      <c r="D106" s="130"/>
      <c r="E106" s="130"/>
      <c r="F106" s="130"/>
      <c r="G106" s="130"/>
      <c r="H106" s="130"/>
      <c r="I106" s="130"/>
      <c r="J106" s="130"/>
      <c r="K106" s="130"/>
      <c r="L106" s="130"/>
      <c r="M106" s="130"/>
      <c r="N106" s="130"/>
      <c r="O106" s="130"/>
      <c r="P106" s="130"/>
      <c r="Q106" s="364"/>
      <c r="R106" s="364"/>
      <c r="S106" s="364"/>
      <c r="T106" s="364"/>
      <c r="U106" s="364"/>
      <c r="V106" s="364"/>
      <c r="W106" s="364"/>
      <c r="X106" s="364"/>
      <c r="Y106" s="364"/>
      <c r="Z106" s="364"/>
      <c r="AA106" s="364"/>
      <c r="AB106" s="364"/>
      <c r="AC106" s="364"/>
      <c r="AD106" s="364"/>
      <c r="AE106" s="364"/>
      <c r="AF106" s="364"/>
      <c r="AG106" s="130"/>
      <c r="AH106" s="130"/>
      <c r="AI106" s="365"/>
      <c r="AJ106" s="366"/>
      <c r="AK106" s="130"/>
      <c r="AL106" s="130"/>
      <c r="AM106" s="130"/>
      <c r="AN106" s="136">
        <f t="shared" si="14"/>
        <v>0</v>
      </c>
      <c r="AO106" s="57" t="e">
        <f>((#REF!+#REF!+#REF!+#REF!+#REF!+#REF!+#REF!)*'assessoria- realizado por item'!AN106)-M106-N106</f>
        <v>#REF!</v>
      </c>
      <c r="AP106" s="57" t="e">
        <f>(#REF!*'assessoria- realizado por item'!AN106)-K106</f>
        <v>#REF!</v>
      </c>
      <c r="AQ106" s="57" t="e">
        <f>(#REF!+#REF!+#REF!+#REF!+#REF!+#REF!+#REF!+#REF!+#REF!+#REF!+#REF!+#REF!+#REF!+#REF!+#REF!+#REF!+#REF!+#REF!+#REF!+#REF!)*AN106</f>
        <v>#REF!</v>
      </c>
      <c r="AR106" s="57" t="e">
        <f t="shared" si="15"/>
        <v>#REF!</v>
      </c>
      <c r="AS106" s="57" t="e">
        <f t="shared" si="16"/>
        <v>#REF!</v>
      </c>
      <c r="AT106" s="57" t="e">
        <f t="shared" si="17"/>
        <v>#REF!</v>
      </c>
      <c r="AU106" s="57" t="e">
        <f t="shared" si="18"/>
        <v>#REF!</v>
      </c>
      <c r="AV106" s="57" t="e">
        <f t="shared" si="19"/>
        <v>#REF!</v>
      </c>
      <c r="AW106" s="57" t="e">
        <f t="shared" si="20"/>
        <v>#REF!</v>
      </c>
    </row>
    <row r="107" spans="1:49" x14ac:dyDescent="0.3">
      <c r="A107" s="130"/>
      <c r="B107" s="130"/>
      <c r="C107" s="130"/>
      <c r="D107" s="130"/>
      <c r="E107" s="130"/>
      <c r="F107" s="130"/>
      <c r="G107" s="130"/>
      <c r="H107" s="130"/>
      <c r="I107" s="130"/>
      <c r="J107" s="130"/>
      <c r="K107" s="130"/>
      <c r="L107" s="130"/>
      <c r="M107" s="130"/>
      <c r="N107" s="130"/>
      <c r="O107" s="130"/>
      <c r="P107" s="130"/>
      <c r="Q107" s="364"/>
      <c r="R107" s="364"/>
      <c r="S107" s="364"/>
      <c r="T107" s="364"/>
      <c r="U107" s="364"/>
      <c r="V107" s="364"/>
      <c r="W107" s="364"/>
      <c r="X107" s="364"/>
      <c r="Y107" s="364"/>
      <c r="Z107" s="364"/>
      <c r="AA107" s="364"/>
      <c r="AB107" s="364"/>
      <c r="AC107" s="364"/>
      <c r="AD107" s="364"/>
      <c r="AE107" s="364"/>
      <c r="AF107" s="364"/>
      <c r="AG107" s="130"/>
      <c r="AH107" s="130"/>
      <c r="AI107" s="365"/>
      <c r="AJ107" s="366"/>
      <c r="AK107" s="130"/>
      <c r="AL107" s="130"/>
      <c r="AM107" s="130"/>
      <c r="AN107" s="136">
        <f t="shared" si="14"/>
        <v>0</v>
      </c>
      <c r="AO107" s="57" t="e">
        <f>((#REF!+#REF!+#REF!+#REF!+#REF!+#REF!+#REF!)*'assessoria- realizado por item'!AN107)-M107-N107</f>
        <v>#REF!</v>
      </c>
      <c r="AP107" s="57" t="e">
        <f>(#REF!*'assessoria- realizado por item'!AN107)-K107</f>
        <v>#REF!</v>
      </c>
      <c r="AQ107" s="57" t="e">
        <f>(#REF!+#REF!+#REF!+#REF!+#REF!+#REF!+#REF!+#REF!+#REF!+#REF!+#REF!+#REF!+#REF!+#REF!+#REF!+#REF!+#REF!+#REF!+#REF!+#REF!)*AN107</f>
        <v>#REF!</v>
      </c>
      <c r="AR107" s="57" t="e">
        <f t="shared" si="15"/>
        <v>#REF!</v>
      </c>
      <c r="AS107" s="57" t="e">
        <f t="shared" si="16"/>
        <v>#REF!</v>
      </c>
      <c r="AT107" s="57" t="e">
        <f t="shared" si="17"/>
        <v>#REF!</v>
      </c>
      <c r="AU107" s="57" t="e">
        <f t="shared" si="18"/>
        <v>#REF!</v>
      </c>
      <c r="AV107" s="57" t="e">
        <f t="shared" si="19"/>
        <v>#REF!</v>
      </c>
      <c r="AW107" s="57" t="e">
        <f t="shared" si="20"/>
        <v>#REF!</v>
      </c>
    </row>
    <row r="108" spans="1:49" x14ac:dyDescent="0.3">
      <c r="A108" s="130"/>
      <c r="B108" s="130"/>
      <c r="C108" s="130"/>
      <c r="D108" s="130"/>
      <c r="E108" s="130"/>
      <c r="F108" s="130"/>
      <c r="G108" s="130"/>
      <c r="H108" s="130"/>
      <c r="I108" s="130"/>
      <c r="J108" s="130"/>
      <c r="K108" s="130"/>
      <c r="L108" s="130"/>
      <c r="M108" s="130"/>
      <c r="N108" s="130"/>
      <c r="O108" s="130"/>
      <c r="P108" s="130"/>
      <c r="Q108" s="364"/>
      <c r="R108" s="364"/>
      <c r="S108" s="364"/>
      <c r="T108" s="364"/>
      <c r="U108" s="364"/>
      <c r="V108" s="364"/>
      <c r="W108" s="364"/>
      <c r="X108" s="364"/>
      <c r="Y108" s="364"/>
      <c r="Z108" s="364"/>
      <c r="AA108" s="364"/>
      <c r="AB108" s="364"/>
      <c r="AC108" s="364"/>
      <c r="AD108" s="364"/>
      <c r="AE108" s="364"/>
      <c r="AF108" s="364"/>
      <c r="AG108" s="130"/>
      <c r="AH108" s="130"/>
      <c r="AI108" s="365"/>
      <c r="AJ108" s="366"/>
      <c r="AK108" s="130"/>
      <c r="AL108" s="130"/>
      <c r="AM108" s="130"/>
      <c r="AN108" s="136">
        <f t="shared" si="14"/>
        <v>0</v>
      </c>
      <c r="AO108" s="57" t="e">
        <f>((#REF!+#REF!+#REF!+#REF!+#REF!+#REF!+#REF!)*'assessoria- realizado por item'!AN108)-M108-N108</f>
        <v>#REF!</v>
      </c>
      <c r="AP108" s="57" t="e">
        <f>(#REF!*'assessoria- realizado por item'!AN108)-K108</f>
        <v>#REF!</v>
      </c>
      <c r="AQ108" s="57" t="e">
        <f>(#REF!+#REF!+#REF!+#REF!+#REF!+#REF!+#REF!+#REF!+#REF!+#REF!+#REF!+#REF!+#REF!+#REF!+#REF!+#REF!+#REF!+#REF!+#REF!+#REF!)*AN108</f>
        <v>#REF!</v>
      </c>
      <c r="AR108" s="57" t="e">
        <f t="shared" si="15"/>
        <v>#REF!</v>
      </c>
      <c r="AS108" s="57" t="e">
        <f t="shared" si="16"/>
        <v>#REF!</v>
      </c>
      <c r="AT108" s="57" t="e">
        <f t="shared" si="17"/>
        <v>#REF!</v>
      </c>
      <c r="AU108" s="57" t="e">
        <f t="shared" si="18"/>
        <v>#REF!</v>
      </c>
      <c r="AV108" s="57" t="e">
        <f t="shared" si="19"/>
        <v>#REF!</v>
      </c>
      <c r="AW108" s="57" t="e">
        <f t="shared" si="20"/>
        <v>#REF!</v>
      </c>
    </row>
    <row r="109" spans="1:49" x14ac:dyDescent="0.3">
      <c r="A109" s="130"/>
      <c r="B109" s="130"/>
      <c r="C109" s="130"/>
      <c r="D109" s="130"/>
      <c r="E109" s="130"/>
      <c r="F109" s="130"/>
      <c r="G109" s="130"/>
      <c r="H109" s="130"/>
      <c r="I109" s="130"/>
      <c r="J109" s="130"/>
      <c r="K109" s="130"/>
      <c r="L109" s="130"/>
      <c r="M109" s="130"/>
      <c r="N109" s="130"/>
      <c r="O109" s="130"/>
      <c r="P109" s="130"/>
      <c r="Q109" s="364"/>
      <c r="R109" s="364"/>
      <c r="S109" s="364"/>
      <c r="T109" s="364"/>
      <c r="U109" s="364"/>
      <c r="V109" s="364"/>
      <c r="W109" s="364"/>
      <c r="X109" s="364"/>
      <c r="Y109" s="364"/>
      <c r="Z109" s="364"/>
      <c r="AA109" s="364"/>
      <c r="AB109" s="364"/>
      <c r="AC109" s="364"/>
      <c r="AD109" s="364"/>
      <c r="AE109" s="364"/>
      <c r="AF109" s="364"/>
      <c r="AG109" s="130"/>
      <c r="AH109" s="130"/>
      <c r="AI109" s="365"/>
      <c r="AJ109" s="366"/>
      <c r="AK109" s="130"/>
      <c r="AL109" s="130"/>
      <c r="AM109" s="130"/>
      <c r="AN109" s="136">
        <f t="shared" si="14"/>
        <v>0</v>
      </c>
      <c r="AO109" s="57" t="e">
        <f>((#REF!+#REF!+#REF!+#REF!+#REF!+#REF!+#REF!)*'assessoria- realizado por item'!AN109)-M109-N109</f>
        <v>#REF!</v>
      </c>
      <c r="AP109" s="57" t="e">
        <f>(#REF!*'assessoria- realizado por item'!AN109)-K109</f>
        <v>#REF!</v>
      </c>
      <c r="AQ109" s="57" t="e">
        <f>(#REF!+#REF!+#REF!+#REF!+#REF!+#REF!+#REF!+#REF!+#REF!+#REF!+#REF!+#REF!+#REF!+#REF!+#REF!+#REF!+#REF!+#REF!+#REF!+#REF!)*AN109</f>
        <v>#REF!</v>
      </c>
      <c r="AR109" s="57" t="e">
        <f t="shared" si="15"/>
        <v>#REF!</v>
      </c>
      <c r="AS109" s="57" t="e">
        <f t="shared" si="16"/>
        <v>#REF!</v>
      </c>
      <c r="AT109" s="57" t="e">
        <f t="shared" si="17"/>
        <v>#REF!</v>
      </c>
      <c r="AU109" s="57" t="e">
        <f t="shared" si="18"/>
        <v>#REF!</v>
      </c>
      <c r="AV109" s="57" t="e">
        <f t="shared" si="19"/>
        <v>#REF!</v>
      </c>
      <c r="AW109" s="57" t="e">
        <f t="shared" si="20"/>
        <v>#REF!</v>
      </c>
    </row>
    <row r="110" spans="1:49" x14ac:dyDescent="0.3">
      <c r="A110" s="130"/>
      <c r="B110" s="130"/>
      <c r="C110" s="130"/>
      <c r="D110" s="130"/>
      <c r="E110" s="130"/>
      <c r="F110" s="130"/>
      <c r="G110" s="130"/>
      <c r="H110" s="130"/>
      <c r="I110" s="130"/>
      <c r="J110" s="130"/>
      <c r="K110" s="130"/>
      <c r="L110" s="130"/>
      <c r="M110" s="130"/>
      <c r="N110" s="130"/>
      <c r="O110" s="130"/>
      <c r="P110" s="130"/>
      <c r="Q110" s="364"/>
      <c r="R110" s="364"/>
      <c r="S110" s="364"/>
      <c r="T110" s="364"/>
      <c r="U110" s="364"/>
      <c r="V110" s="364"/>
      <c r="W110" s="364"/>
      <c r="X110" s="364"/>
      <c r="Y110" s="364"/>
      <c r="Z110" s="364"/>
      <c r="AA110" s="364"/>
      <c r="AB110" s="364"/>
      <c r="AC110" s="364"/>
      <c r="AD110" s="364"/>
      <c r="AE110" s="364"/>
      <c r="AF110" s="364"/>
      <c r="AG110" s="130"/>
      <c r="AH110" s="130"/>
      <c r="AI110" s="365"/>
      <c r="AJ110" s="366"/>
      <c r="AK110" s="130"/>
      <c r="AL110" s="130"/>
      <c r="AM110" s="130"/>
      <c r="AN110" s="136">
        <f t="shared" si="14"/>
        <v>0</v>
      </c>
      <c r="AO110" s="57" t="e">
        <f>((#REF!+#REF!+#REF!+#REF!+#REF!+#REF!+#REF!)*'assessoria- realizado por item'!AN110)-M110-N110</f>
        <v>#REF!</v>
      </c>
      <c r="AP110" s="57" t="e">
        <f>(#REF!*'assessoria- realizado por item'!AN110)-K110</f>
        <v>#REF!</v>
      </c>
      <c r="AQ110" s="57" t="e">
        <f>(#REF!+#REF!+#REF!+#REF!+#REF!+#REF!+#REF!+#REF!+#REF!+#REF!+#REF!+#REF!+#REF!+#REF!+#REF!+#REF!+#REF!+#REF!+#REF!+#REF!)*AN110</f>
        <v>#REF!</v>
      </c>
      <c r="AR110" s="57" t="e">
        <f t="shared" si="15"/>
        <v>#REF!</v>
      </c>
      <c r="AS110" s="57" t="e">
        <f t="shared" si="16"/>
        <v>#REF!</v>
      </c>
      <c r="AT110" s="57" t="e">
        <f t="shared" si="17"/>
        <v>#REF!</v>
      </c>
      <c r="AU110" s="57" t="e">
        <f t="shared" si="18"/>
        <v>#REF!</v>
      </c>
      <c r="AV110" s="57" t="e">
        <f t="shared" si="19"/>
        <v>#REF!</v>
      </c>
      <c r="AW110" s="57" t="e">
        <f t="shared" si="20"/>
        <v>#REF!</v>
      </c>
    </row>
    <row r="111" spans="1:49" x14ac:dyDescent="0.3">
      <c r="A111" s="130"/>
      <c r="B111" s="130"/>
      <c r="C111" s="130"/>
      <c r="D111" s="130"/>
      <c r="E111" s="130"/>
      <c r="F111" s="130"/>
      <c r="G111" s="130"/>
      <c r="H111" s="130"/>
      <c r="I111" s="130"/>
      <c r="J111" s="130"/>
      <c r="K111" s="130"/>
      <c r="L111" s="130"/>
      <c r="M111" s="130"/>
      <c r="N111" s="130"/>
      <c r="O111" s="130"/>
      <c r="P111" s="130"/>
      <c r="Q111" s="364"/>
      <c r="R111" s="364"/>
      <c r="S111" s="364"/>
      <c r="T111" s="364"/>
      <c r="U111" s="364"/>
      <c r="V111" s="364"/>
      <c r="W111" s="364"/>
      <c r="X111" s="364"/>
      <c r="Y111" s="364"/>
      <c r="Z111" s="364"/>
      <c r="AA111" s="364"/>
      <c r="AB111" s="364"/>
      <c r="AC111" s="364"/>
      <c r="AD111" s="364"/>
      <c r="AE111" s="364"/>
      <c r="AF111" s="364"/>
      <c r="AG111" s="130"/>
      <c r="AH111" s="130"/>
      <c r="AI111" s="365"/>
      <c r="AJ111" s="366"/>
      <c r="AK111" s="130"/>
      <c r="AL111" s="130"/>
      <c r="AM111" s="130"/>
      <c r="AN111" s="136">
        <f t="shared" si="14"/>
        <v>0</v>
      </c>
      <c r="AO111" s="57" t="e">
        <f>((#REF!+#REF!+#REF!+#REF!+#REF!+#REF!+#REF!)*'assessoria- realizado por item'!AN111)-M111-N111</f>
        <v>#REF!</v>
      </c>
      <c r="AP111" s="57" t="e">
        <f>(#REF!*'assessoria- realizado por item'!AN111)-K111</f>
        <v>#REF!</v>
      </c>
      <c r="AQ111" s="57" t="e">
        <f>(#REF!+#REF!+#REF!+#REF!+#REF!+#REF!+#REF!+#REF!+#REF!+#REF!+#REF!+#REF!+#REF!+#REF!+#REF!+#REF!+#REF!+#REF!+#REF!+#REF!)*AN111</f>
        <v>#REF!</v>
      </c>
      <c r="AR111" s="57" t="e">
        <f t="shared" si="15"/>
        <v>#REF!</v>
      </c>
      <c r="AS111" s="57" t="e">
        <f t="shared" si="16"/>
        <v>#REF!</v>
      </c>
      <c r="AT111" s="57" t="e">
        <f t="shared" si="17"/>
        <v>#REF!</v>
      </c>
      <c r="AU111" s="57" t="e">
        <f t="shared" si="18"/>
        <v>#REF!</v>
      </c>
      <c r="AV111" s="57" t="e">
        <f t="shared" si="19"/>
        <v>#REF!</v>
      </c>
      <c r="AW111" s="57" t="e">
        <f t="shared" si="20"/>
        <v>#REF!</v>
      </c>
    </row>
    <row r="112" spans="1:49" x14ac:dyDescent="0.3">
      <c r="A112" s="130"/>
      <c r="B112" s="130"/>
      <c r="C112" s="130"/>
      <c r="D112" s="130"/>
      <c r="E112" s="130"/>
      <c r="F112" s="130"/>
      <c r="G112" s="130"/>
      <c r="H112" s="130"/>
      <c r="I112" s="130"/>
      <c r="J112" s="130"/>
      <c r="K112" s="130"/>
      <c r="L112" s="130"/>
      <c r="M112" s="130"/>
      <c r="N112" s="130"/>
      <c r="O112" s="130"/>
      <c r="P112" s="130"/>
      <c r="Q112" s="364"/>
      <c r="R112" s="364"/>
      <c r="S112" s="364"/>
      <c r="T112" s="364"/>
      <c r="U112" s="364"/>
      <c r="V112" s="364"/>
      <c r="W112" s="364"/>
      <c r="X112" s="364"/>
      <c r="Y112" s="364"/>
      <c r="Z112" s="364"/>
      <c r="AA112" s="364"/>
      <c r="AB112" s="364"/>
      <c r="AC112" s="364"/>
      <c r="AD112" s="364"/>
      <c r="AE112" s="364"/>
      <c r="AF112" s="364"/>
      <c r="AG112" s="130"/>
      <c r="AH112" s="130"/>
      <c r="AI112" s="365"/>
      <c r="AJ112" s="366"/>
      <c r="AK112" s="130"/>
      <c r="AL112" s="130"/>
      <c r="AM112" s="130"/>
      <c r="AN112" s="136">
        <f t="shared" si="14"/>
        <v>0</v>
      </c>
      <c r="AO112" s="57" t="e">
        <f>((#REF!+#REF!+#REF!+#REF!+#REF!+#REF!+#REF!)*'assessoria- realizado por item'!AN112)-M112-N112</f>
        <v>#REF!</v>
      </c>
      <c r="AP112" s="57" t="e">
        <f>(#REF!*'assessoria- realizado por item'!AN112)-K112</f>
        <v>#REF!</v>
      </c>
      <c r="AQ112" s="57" t="e">
        <f>(#REF!+#REF!+#REF!+#REF!+#REF!+#REF!+#REF!+#REF!+#REF!+#REF!+#REF!+#REF!+#REF!+#REF!+#REF!+#REF!+#REF!+#REF!+#REF!+#REF!)*AN112</f>
        <v>#REF!</v>
      </c>
      <c r="AR112" s="57" t="e">
        <f t="shared" si="15"/>
        <v>#REF!</v>
      </c>
      <c r="AS112" s="57" t="e">
        <f t="shared" si="16"/>
        <v>#REF!</v>
      </c>
      <c r="AT112" s="57" t="e">
        <f t="shared" si="17"/>
        <v>#REF!</v>
      </c>
      <c r="AU112" s="57" t="e">
        <f t="shared" si="18"/>
        <v>#REF!</v>
      </c>
      <c r="AV112" s="57" t="e">
        <f t="shared" si="19"/>
        <v>#REF!</v>
      </c>
      <c r="AW112" s="57" t="e">
        <f t="shared" si="20"/>
        <v>#REF!</v>
      </c>
    </row>
    <row r="113" spans="1:49" x14ac:dyDescent="0.3">
      <c r="A113" s="130"/>
      <c r="B113" s="130"/>
      <c r="C113" s="130"/>
      <c r="D113" s="130"/>
      <c r="E113" s="130"/>
      <c r="F113" s="130"/>
      <c r="G113" s="130"/>
      <c r="H113" s="130"/>
      <c r="I113" s="130"/>
      <c r="J113" s="130"/>
      <c r="K113" s="130"/>
      <c r="L113" s="130"/>
      <c r="M113" s="130"/>
      <c r="N113" s="130"/>
      <c r="O113" s="130"/>
      <c r="P113" s="130"/>
      <c r="Q113" s="364"/>
      <c r="R113" s="364"/>
      <c r="S113" s="364"/>
      <c r="T113" s="364"/>
      <c r="U113" s="364"/>
      <c r="V113" s="364"/>
      <c r="W113" s="364"/>
      <c r="X113" s="364"/>
      <c r="Y113" s="364"/>
      <c r="Z113" s="364"/>
      <c r="AA113" s="364"/>
      <c r="AB113" s="364"/>
      <c r="AC113" s="364"/>
      <c r="AD113" s="364"/>
      <c r="AE113" s="364"/>
      <c r="AF113" s="364"/>
      <c r="AG113" s="130"/>
      <c r="AH113" s="130"/>
      <c r="AI113" s="365"/>
      <c r="AJ113" s="366"/>
      <c r="AK113" s="130"/>
      <c r="AL113" s="130"/>
      <c r="AM113" s="130"/>
      <c r="AN113" s="136">
        <f t="shared" si="14"/>
        <v>0</v>
      </c>
      <c r="AO113" s="57" t="e">
        <f>((#REF!+#REF!+#REF!+#REF!+#REF!+#REF!+#REF!)*'assessoria- realizado por item'!AN113)-M113-N113</f>
        <v>#REF!</v>
      </c>
      <c r="AP113" s="57" t="e">
        <f>(#REF!*'assessoria- realizado por item'!AN113)-K113</f>
        <v>#REF!</v>
      </c>
      <c r="AQ113" s="57" t="e">
        <f>(#REF!+#REF!+#REF!+#REF!+#REF!+#REF!+#REF!+#REF!+#REF!+#REF!+#REF!+#REF!+#REF!+#REF!+#REF!+#REF!+#REF!+#REF!+#REF!+#REF!)*AN113</f>
        <v>#REF!</v>
      </c>
      <c r="AR113" s="57" t="e">
        <f t="shared" si="15"/>
        <v>#REF!</v>
      </c>
      <c r="AS113" s="57" t="e">
        <f t="shared" si="16"/>
        <v>#REF!</v>
      </c>
      <c r="AT113" s="57" t="e">
        <f t="shared" si="17"/>
        <v>#REF!</v>
      </c>
      <c r="AU113" s="57" t="e">
        <f t="shared" si="18"/>
        <v>#REF!</v>
      </c>
      <c r="AV113" s="57" t="e">
        <f t="shared" si="19"/>
        <v>#REF!</v>
      </c>
      <c r="AW113" s="57" t="e">
        <f t="shared" si="20"/>
        <v>#REF!</v>
      </c>
    </row>
    <row r="114" spans="1:49" x14ac:dyDescent="0.3">
      <c r="A114" s="130"/>
      <c r="B114" s="130"/>
      <c r="C114" s="130"/>
      <c r="D114" s="130"/>
      <c r="E114" s="130"/>
      <c r="F114" s="130"/>
      <c r="G114" s="130"/>
      <c r="H114" s="130"/>
      <c r="I114" s="130"/>
      <c r="J114" s="133">
        <f>SUM(J8:J113)</f>
        <v>58794</v>
      </c>
      <c r="K114" s="133">
        <f t="shared" ref="K114:M114" si="21">SUM(K8:K113)</f>
        <v>298226.68560000008</v>
      </c>
      <c r="L114" s="133"/>
      <c r="M114" s="133">
        <f t="shared" si="21"/>
        <v>24499.691999999999</v>
      </c>
      <c r="N114" s="132"/>
      <c r="O114" s="132"/>
      <c r="P114" s="133">
        <f>SUM(P8:P113)</f>
        <v>322726.37760000001</v>
      </c>
      <c r="Q114" s="367"/>
      <c r="R114" s="367"/>
      <c r="S114" s="367">
        <f>SUM(S8:T113)</f>
        <v>14303.77</v>
      </c>
      <c r="T114" s="367"/>
      <c r="U114" s="367"/>
      <c r="V114" s="367"/>
      <c r="W114" s="367">
        <f>SUM(W8:X113)</f>
        <v>3256.58</v>
      </c>
      <c r="X114" s="367"/>
      <c r="Y114" s="367"/>
      <c r="Z114" s="367"/>
      <c r="AA114" s="367">
        <f>SUM(AA8:AB113)</f>
        <v>6777.25</v>
      </c>
      <c r="AB114" s="367"/>
      <c r="AC114" s="367"/>
      <c r="AD114" s="367"/>
      <c r="AE114" s="367">
        <f>SUM(AE8:AF113)</f>
        <v>33237.950000000004</v>
      </c>
      <c r="AF114" s="367"/>
      <c r="AG114" s="132"/>
      <c r="AH114" s="132"/>
      <c r="AI114" s="367">
        <f>SUM(AI8:AJ113)</f>
        <v>59958.460000000006</v>
      </c>
      <c r="AJ114" s="367"/>
      <c r="AK114" s="130"/>
      <c r="AL114" s="130"/>
      <c r="AM114" s="130"/>
      <c r="AN114" s="136">
        <f t="shared" si="14"/>
        <v>1</v>
      </c>
      <c r="AO114" s="137" t="e">
        <f>SUM(AO8:AO21)</f>
        <v>#REF!</v>
      </c>
      <c r="AP114" s="137" t="e">
        <f>SUM(AP8:AP21)</f>
        <v>#REF!</v>
      </c>
      <c r="AQ114" s="137" t="e">
        <f>SUM(AQ8:AQ21)</f>
        <v>#REF!</v>
      </c>
      <c r="AR114" s="137" t="e">
        <f>SUM(AR8:AR21)</f>
        <v>#REF!</v>
      </c>
      <c r="AS114" s="137"/>
      <c r="AT114" s="137" t="e">
        <f>SUM(AT8:AT21)</f>
        <v>#REF!</v>
      </c>
      <c r="AU114" s="99"/>
      <c r="AV114" s="137" t="e">
        <f>SUM(AV8:AV21)</f>
        <v>#REF!</v>
      </c>
      <c r="AW114" s="99"/>
    </row>
  </sheetData>
  <mergeCells count="999">
    <mergeCell ref="S114:T114"/>
    <mergeCell ref="Q114:R114"/>
    <mergeCell ref="AN6:AN7"/>
    <mergeCell ref="AE114:AF114"/>
    <mergeCell ref="AC114:AD114"/>
    <mergeCell ref="AA114:AB114"/>
    <mergeCell ref="Y114:Z114"/>
    <mergeCell ref="W114:X114"/>
    <mergeCell ref="U114:V114"/>
    <mergeCell ref="AC112:AD112"/>
    <mergeCell ref="Q113:R113"/>
    <mergeCell ref="S113:T113"/>
    <mergeCell ref="U113:V113"/>
    <mergeCell ref="W113:X113"/>
    <mergeCell ref="Y113:Z113"/>
    <mergeCell ref="AA113:AB113"/>
    <mergeCell ref="AC113:AD113"/>
    <mergeCell ref="Q112:R112"/>
    <mergeCell ref="S112:T112"/>
    <mergeCell ref="U112:V112"/>
    <mergeCell ref="W112:X112"/>
    <mergeCell ref="Y112:Z112"/>
    <mergeCell ref="AA112:AB112"/>
    <mergeCell ref="Q111:R111"/>
    <mergeCell ref="AR6:AS6"/>
    <mergeCell ref="AT6:AU6"/>
    <mergeCell ref="AV6:AW6"/>
    <mergeCell ref="AN5:AW5"/>
    <mergeCell ref="AI114:AJ114"/>
    <mergeCell ref="AO6:AO7"/>
    <mergeCell ref="AP6:AP7"/>
    <mergeCell ref="AQ6:AQ7"/>
    <mergeCell ref="AE113:AF113"/>
    <mergeCell ref="AI113:AJ113"/>
    <mergeCell ref="AE112:AF112"/>
    <mergeCell ref="AI112:AJ112"/>
    <mergeCell ref="AI110:AJ110"/>
    <mergeCell ref="AI108:AJ108"/>
    <mergeCell ref="AI106:AJ106"/>
    <mergeCell ref="AE105:AF105"/>
    <mergeCell ref="AI105:AJ105"/>
    <mergeCell ref="AI104:AJ104"/>
    <mergeCell ref="AI102:AJ102"/>
    <mergeCell ref="AE101:AF101"/>
    <mergeCell ref="AI101:AJ101"/>
    <mergeCell ref="AI100:AJ100"/>
    <mergeCell ref="AI98:AJ98"/>
    <mergeCell ref="AE97:AF97"/>
    <mergeCell ref="S111:T111"/>
    <mergeCell ref="U111:V111"/>
    <mergeCell ref="W111:X111"/>
    <mergeCell ref="Y111:Z111"/>
    <mergeCell ref="AA111:AB111"/>
    <mergeCell ref="AC111:AD111"/>
    <mergeCell ref="AE111:AF111"/>
    <mergeCell ref="AI111:AJ111"/>
    <mergeCell ref="AE109:AF109"/>
    <mergeCell ref="AI109:AJ109"/>
    <mergeCell ref="Q110:R110"/>
    <mergeCell ref="S110:T110"/>
    <mergeCell ref="U110:V110"/>
    <mergeCell ref="W110:X110"/>
    <mergeCell ref="Y110:Z110"/>
    <mergeCell ref="AA110:AB110"/>
    <mergeCell ref="AC110:AD110"/>
    <mergeCell ref="AE110:AF110"/>
    <mergeCell ref="AC108:AD108"/>
    <mergeCell ref="AE108:AF108"/>
    <mergeCell ref="Q109:R109"/>
    <mergeCell ref="S109:T109"/>
    <mergeCell ref="U109:V109"/>
    <mergeCell ref="W109:X109"/>
    <mergeCell ref="Y109:Z109"/>
    <mergeCell ref="AA109:AB109"/>
    <mergeCell ref="AC109:AD109"/>
    <mergeCell ref="Q108:R108"/>
    <mergeCell ref="S108:T108"/>
    <mergeCell ref="U108:V108"/>
    <mergeCell ref="W108:X108"/>
    <mergeCell ref="Y108:Z108"/>
    <mergeCell ref="AA108:AB108"/>
    <mergeCell ref="Q107:R107"/>
    <mergeCell ref="S107:T107"/>
    <mergeCell ref="U107:V107"/>
    <mergeCell ref="W107:X107"/>
    <mergeCell ref="Y107:Z107"/>
    <mergeCell ref="AA107:AB107"/>
    <mergeCell ref="AC107:AD107"/>
    <mergeCell ref="AE107:AF107"/>
    <mergeCell ref="AI107:AJ107"/>
    <mergeCell ref="Q106:R106"/>
    <mergeCell ref="S106:T106"/>
    <mergeCell ref="U106:V106"/>
    <mergeCell ref="W106:X106"/>
    <mergeCell ref="Y106:Z106"/>
    <mergeCell ref="AA106:AB106"/>
    <mergeCell ref="AC106:AD106"/>
    <mergeCell ref="AE106:AF106"/>
    <mergeCell ref="AC104:AD104"/>
    <mergeCell ref="AE104:AF104"/>
    <mergeCell ref="Q105:R105"/>
    <mergeCell ref="S105:T105"/>
    <mergeCell ref="U105:V105"/>
    <mergeCell ref="W105:X105"/>
    <mergeCell ref="Y105:Z105"/>
    <mergeCell ref="AA105:AB105"/>
    <mergeCell ref="AC105:AD105"/>
    <mergeCell ref="Q104:R104"/>
    <mergeCell ref="S104:T104"/>
    <mergeCell ref="U104:V104"/>
    <mergeCell ref="W104:X104"/>
    <mergeCell ref="Y104:Z104"/>
    <mergeCell ref="AA104:AB104"/>
    <mergeCell ref="Q103:R103"/>
    <mergeCell ref="S103:T103"/>
    <mergeCell ref="U103:V103"/>
    <mergeCell ref="W103:X103"/>
    <mergeCell ref="Y103:Z103"/>
    <mergeCell ref="AA103:AB103"/>
    <mergeCell ref="AC103:AD103"/>
    <mergeCell ref="AE103:AF103"/>
    <mergeCell ref="AI103:AJ103"/>
    <mergeCell ref="AI99:AJ99"/>
    <mergeCell ref="Q102:R102"/>
    <mergeCell ref="S102:T102"/>
    <mergeCell ref="U102:V102"/>
    <mergeCell ref="W102:X102"/>
    <mergeCell ref="Y102:Z102"/>
    <mergeCell ref="AA102:AB102"/>
    <mergeCell ref="AC102:AD102"/>
    <mergeCell ref="AE102:AF102"/>
    <mergeCell ref="AC100:AD100"/>
    <mergeCell ref="AE100:AF100"/>
    <mergeCell ref="Q101:R101"/>
    <mergeCell ref="S101:T101"/>
    <mergeCell ref="U101:V101"/>
    <mergeCell ref="W101:X101"/>
    <mergeCell ref="Y101:Z101"/>
    <mergeCell ref="AA101:AB101"/>
    <mergeCell ref="AC101:AD101"/>
    <mergeCell ref="Q100:R100"/>
    <mergeCell ref="S100:T100"/>
    <mergeCell ref="U100:V100"/>
    <mergeCell ref="W100:X100"/>
    <mergeCell ref="Y100:Z100"/>
    <mergeCell ref="AA100:AB100"/>
    <mergeCell ref="Q98:R98"/>
    <mergeCell ref="S98:T98"/>
    <mergeCell ref="U98:V98"/>
    <mergeCell ref="W98:X98"/>
    <mergeCell ref="Y98:Z98"/>
    <mergeCell ref="AA98:AB98"/>
    <mergeCell ref="AC98:AD98"/>
    <mergeCell ref="AE98:AF98"/>
    <mergeCell ref="Q99:R99"/>
    <mergeCell ref="S99:T99"/>
    <mergeCell ref="U99:V99"/>
    <mergeCell ref="W99:X99"/>
    <mergeCell ref="Y99:Z99"/>
    <mergeCell ref="AA99:AB99"/>
    <mergeCell ref="AC99:AD99"/>
    <mergeCell ref="AE99:AF99"/>
    <mergeCell ref="AC96:AD96"/>
    <mergeCell ref="AE96:AF96"/>
    <mergeCell ref="AI96:AJ96"/>
    <mergeCell ref="Q97:R97"/>
    <mergeCell ref="S97:T97"/>
    <mergeCell ref="U97:V97"/>
    <mergeCell ref="W97:X97"/>
    <mergeCell ref="Y97:Z97"/>
    <mergeCell ref="AA97:AB97"/>
    <mergeCell ref="AC97:AD97"/>
    <mergeCell ref="Q96:R96"/>
    <mergeCell ref="S96:T96"/>
    <mergeCell ref="U96:V96"/>
    <mergeCell ref="W96:X96"/>
    <mergeCell ref="Y96:Z96"/>
    <mergeCell ref="AA96:AB96"/>
    <mergeCell ref="AI97:AJ97"/>
    <mergeCell ref="Q95:R95"/>
    <mergeCell ref="S95:T95"/>
    <mergeCell ref="U95:V95"/>
    <mergeCell ref="W95:X95"/>
    <mergeCell ref="Y95:Z95"/>
    <mergeCell ref="AA95:AB95"/>
    <mergeCell ref="AC95:AD95"/>
    <mergeCell ref="AE95:AF95"/>
    <mergeCell ref="AI95:AJ95"/>
    <mergeCell ref="Q94:R94"/>
    <mergeCell ref="S94:T94"/>
    <mergeCell ref="U94:V94"/>
    <mergeCell ref="W94:X94"/>
    <mergeCell ref="Y94:Z94"/>
    <mergeCell ref="AA94:AB94"/>
    <mergeCell ref="AC94:AD94"/>
    <mergeCell ref="AE94:AF94"/>
    <mergeCell ref="AI94:AJ94"/>
    <mergeCell ref="AC92:AD92"/>
    <mergeCell ref="AE92:AF92"/>
    <mergeCell ref="AI92:AJ92"/>
    <mergeCell ref="Q93:R93"/>
    <mergeCell ref="S93:T93"/>
    <mergeCell ref="U93:V93"/>
    <mergeCell ref="W93:X93"/>
    <mergeCell ref="Y93:Z93"/>
    <mergeCell ref="AA93:AB93"/>
    <mergeCell ref="AC93:AD93"/>
    <mergeCell ref="Q92:R92"/>
    <mergeCell ref="S92:T92"/>
    <mergeCell ref="U92:V92"/>
    <mergeCell ref="W92:X92"/>
    <mergeCell ref="Y92:Z92"/>
    <mergeCell ref="AA92:AB92"/>
    <mergeCell ref="AE93:AF93"/>
    <mergeCell ref="AI93:AJ93"/>
    <mergeCell ref="Q91:R91"/>
    <mergeCell ref="S91:T91"/>
    <mergeCell ref="U91:V91"/>
    <mergeCell ref="W91:X91"/>
    <mergeCell ref="Y91:Z91"/>
    <mergeCell ref="AA91:AB91"/>
    <mergeCell ref="AC91:AD91"/>
    <mergeCell ref="AE91:AF91"/>
    <mergeCell ref="AI91:AJ91"/>
    <mergeCell ref="Q90:R90"/>
    <mergeCell ref="S90:T90"/>
    <mergeCell ref="U90:V90"/>
    <mergeCell ref="W90:X90"/>
    <mergeCell ref="Y90:Z90"/>
    <mergeCell ref="AA90:AB90"/>
    <mergeCell ref="AC90:AD90"/>
    <mergeCell ref="AE90:AF90"/>
    <mergeCell ref="AI90:AJ90"/>
    <mergeCell ref="AC88:AD88"/>
    <mergeCell ref="AE88:AF88"/>
    <mergeCell ref="AI88:AJ88"/>
    <mergeCell ref="Q89:R89"/>
    <mergeCell ref="S89:T89"/>
    <mergeCell ref="U89:V89"/>
    <mergeCell ref="W89:X89"/>
    <mergeCell ref="Y89:Z89"/>
    <mergeCell ref="AA89:AB89"/>
    <mergeCell ref="AC89:AD89"/>
    <mergeCell ref="Q88:R88"/>
    <mergeCell ref="S88:T88"/>
    <mergeCell ref="U88:V88"/>
    <mergeCell ref="W88:X88"/>
    <mergeCell ref="Y88:Z88"/>
    <mergeCell ref="AA88:AB88"/>
    <mergeCell ref="AE89:AF89"/>
    <mergeCell ref="AI89:AJ89"/>
    <mergeCell ref="Q87:R87"/>
    <mergeCell ref="S87:T87"/>
    <mergeCell ref="U87:V87"/>
    <mergeCell ref="W87:X87"/>
    <mergeCell ref="Y87:Z87"/>
    <mergeCell ref="AA87:AB87"/>
    <mergeCell ref="AC87:AD87"/>
    <mergeCell ref="AE87:AF87"/>
    <mergeCell ref="AI87:AJ87"/>
    <mergeCell ref="Q86:R86"/>
    <mergeCell ref="S86:T86"/>
    <mergeCell ref="U86:V86"/>
    <mergeCell ref="W86:X86"/>
    <mergeCell ref="Y86:Z86"/>
    <mergeCell ref="AA86:AB86"/>
    <mergeCell ref="AC86:AD86"/>
    <mergeCell ref="AE86:AF86"/>
    <mergeCell ref="AI86:AJ86"/>
    <mergeCell ref="AC84:AD84"/>
    <mergeCell ref="AE84:AF84"/>
    <mergeCell ref="AI84:AJ84"/>
    <mergeCell ref="Q85:R85"/>
    <mergeCell ref="S85:T85"/>
    <mergeCell ref="U85:V85"/>
    <mergeCell ref="W85:X85"/>
    <mergeCell ref="Y85:Z85"/>
    <mergeCell ref="AA85:AB85"/>
    <mergeCell ref="AC85:AD85"/>
    <mergeCell ref="Q84:R84"/>
    <mergeCell ref="S84:T84"/>
    <mergeCell ref="U84:V84"/>
    <mergeCell ref="W84:X84"/>
    <mergeCell ref="Y84:Z84"/>
    <mergeCell ref="AA84:AB84"/>
    <mergeCell ref="AE85:AF85"/>
    <mergeCell ref="AI85:AJ85"/>
    <mergeCell ref="Q83:R83"/>
    <mergeCell ref="S83:T83"/>
    <mergeCell ref="U83:V83"/>
    <mergeCell ref="W83:X83"/>
    <mergeCell ref="Y83:Z83"/>
    <mergeCell ref="AA83:AB83"/>
    <mergeCell ref="AC83:AD83"/>
    <mergeCell ref="AE83:AF83"/>
    <mergeCell ref="AI83:AJ83"/>
    <mergeCell ref="Q82:R82"/>
    <mergeCell ref="S82:T82"/>
    <mergeCell ref="U82:V82"/>
    <mergeCell ref="W82:X82"/>
    <mergeCell ref="Y82:Z82"/>
    <mergeCell ref="AA82:AB82"/>
    <mergeCell ref="AC82:AD82"/>
    <mergeCell ref="AE82:AF82"/>
    <mergeCell ref="AI82:AJ82"/>
    <mergeCell ref="AC80:AD80"/>
    <mergeCell ref="AE80:AF80"/>
    <mergeCell ref="AI80:AJ80"/>
    <mergeCell ref="Q81:R81"/>
    <mergeCell ref="S81:T81"/>
    <mergeCell ref="U81:V81"/>
    <mergeCell ref="W81:X81"/>
    <mergeCell ref="Y81:Z81"/>
    <mergeCell ref="AA81:AB81"/>
    <mergeCell ref="AC81:AD81"/>
    <mergeCell ref="Q80:R80"/>
    <mergeCell ref="S80:T80"/>
    <mergeCell ref="U80:V80"/>
    <mergeCell ref="W80:X80"/>
    <mergeCell ref="Y80:Z80"/>
    <mergeCell ref="AA80:AB80"/>
    <mergeCell ref="AE81:AF81"/>
    <mergeCell ref="AI81:AJ81"/>
    <mergeCell ref="Q79:R79"/>
    <mergeCell ref="S79:T79"/>
    <mergeCell ref="U79:V79"/>
    <mergeCell ref="W79:X79"/>
    <mergeCell ref="Y79:Z79"/>
    <mergeCell ref="AA79:AB79"/>
    <mergeCell ref="AC79:AD79"/>
    <mergeCell ref="AE79:AF79"/>
    <mergeCell ref="AI79:AJ79"/>
    <mergeCell ref="Q78:R78"/>
    <mergeCell ref="S78:T78"/>
    <mergeCell ref="U78:V78"/>
    <mergeCell ref="W78:X78"/>
    <mergeCell ref="Y78:Z78"/>
    <mergeCell ref="AA78:AB78"/>
    <mergeCell ref="AC78:AD78"/>
    <mergeCell ref="AE78:AF78"/>
    <mergeCell ref="AI78:AJ78"/>
    <mergeCell ref="AC76:AD76"/>
    <mergeCell ref="AE76:AF76"/>
    <mergeCell ref="AI76:AJ76"/>
    <mergeCell ref="Q77:R77"/>
    <mergeCell ref="S77:T77"/>
    <mergeCell ref="U77:V77"/>
    <mergeCell ref="W77:X77"/>
    <mergeCell ref="Y77:Z77"/>
    <mergeCell ref="AA77:AB77"/>
    <mergeCell ref="AC77:AD77"/>
    <mergeCell ref="Q76:R76"/>
    <mergeCell ref="S76:T76"/>
    <mergeCell ref="U76:V76"/>
    <mergeCell ref="W76:X76"/>
    <mergeCell ref="Y76:Z76"/>
    <mergeCell ref="AA76:AB76"/>
    <mergeCell ref="AE77:AF77"/>
    <mergeCell ref="AI77:AJ77"/>
    <mergeCell ref="Q75:R75"/>
    <mergeCell ref="S75:T75"/>
    <mergeCell ref="U75:V75"/>
    <mergeCell ref="W75:X75"/>
    <mergeCell ref="Y75:Z75"/>
    <mergeCell ref="AA75:AB75"/>
    <mergeCell ref="AC75:AD75"/>
    <mergeCell ref="AE75:AF75"/>
    <mergeCell ref="AI75:AJ75"/>
    <mergeCell ref="Q74:R74"/>
    <mergeCell ref="S74:T74"/>
    <mergeCell ref="U74:V74"/>
    <mergeCell ref="W74:X74"/>
    <mergeCell ref="Y74:Z74"/>
    <mergeCell ref="AA74:AB74"/>
    <mergeCell ref="AC74:AD74"/>
    <mergeCell ref="AE74:AF74"/>
    <mergeCell ref="AI74:AJ74"/>
    <mergeCell ref="AC72:AD72"/>
    <mergeCell ref="AE72:AF72"/>
    <mergeCell ref="AI72:AJ72"/>
    <mergeCell ref="Q73:R73"/>
    <mergeCell ref="S73:T73"/>
    <mergeCell ref="U73:V73"/>
    <mergeCell ref="W73:X73"/>
    <mergeCell ref="Y73:Z73"/>
    <mergeCell ref="AA73:AB73"/>
    <mergeCell ref="AC73:AD73"/>
    <mergeCell ref="Q72:R72"/>
    <mergeCell ref="S72:T72"/>
    <mergeCell ref="U72:V72"/>
    <mergeCell ref="W72:X72"/>
    <mergeCell ref="Y72:Z72"/>
    <mergeCell ref="AA72:AB72"/>
    <mergeCell ref="AE73:AF73"/>
    <mergeCell ref="AI73:AJ73"/>
    <mergeCell ref="Q71:R71"/>
    <mergeCell ref="S71:T71"/>
    <mergeCell ref="U71:V71"/>
    <mergeCell ref="W71:X71"/>
    <mergeCell ref="Y71:Z71"/>
    <mergeCell ref="AA71:AB71"/>
    <mergeCell ref="AC71:AD71"/>
    <mergeCell ref="AE71:AF71"/>
    <mergeCell ref="AI71:AJ71"/>
    <mergeCell ref="Q70:R70"/>
    <mergeCell ref="S70:T70"/>
    <mergeCell ref="U70:V70"/>
    <mergeCell ref="W70:X70"/>
    <mergeCell ref="Y70:Z70"/>
    <mergeCell ref="AA70:AB70"/>
    <mergeCell ref="AC70:AD70"/>
    <mergeCell ref="AE70:AF70"/>
    <mergeCell ref="AI70:AJ70"/>
    <mergeCell ref="AC68:AD68"/>
    <mergeCell ref="AE68:AF68"/>
    <mergeCell ref="AI68:AJ68"/>
    <mergeCell ref="Q69:R69"/>
    <mergeCell ref="S69:T69"/>
    <mergeCell ref="U69:V69"/>
    <mergeCell ref="W69:X69"/>
    <mergeCell ref="Y69:Z69"/>
    <mergeCell ref="AA69:AB69"/>
    <mergeCell ref="AC69:AD69"/>
    <mergeCell ref="Q68:R68"/>
    <mergeCell ref="S68:T68"/>
    <mergeCell ref="U68:V68"/>
    <mergeCell ref="W68:X68"/>
    <mergeCell ref="Y68:Z68"/>
    <mergeCell ref="AA68:AB68"/>
    <mergeCell ref="AE69:AF69"/>
    <mergeCell ref="AI69:AJ69"/>
    <mergeCell ref="Q67:R67"/>
    <mergeCell ref="S67:T67"/>
    <mergeCell ref="U67:V67"/>
    <mergeCell ref="W67:X67"/>
    <mergeCell ref="Y67:Z67"/>
    <mergeCell ref="AA67:AB67"/>
    <mergeCell ref="AC67:AD67"/>
    <mergeCell ref="AE67:AF67"/>
    <mergeCell ref="AI67:AJ67"/>
    <mergeCell ref="Q66:R66"/>
    <mergeCell ref="S66:T66"/>
    <mergeCell ref="U66:V66"/>
    <mergeCell ref="W66:X66"/>
    <mergeCell ref="Y66:Z66"/>
    <mergeCell ref="AA66:AB66"/>
    <mergeCell ref="AC66:AD66"/>
    <mergeCell ref="AE66:AF66"/>
    <mergeCell ref="AI66:AJ66"/>
    <mergeCell ref="AC64:AD64"/>
    <mergeCell ref="AE64:AF64"/>
    <mergeCell ref="AI64:AJ64"/>
    <mergeCell ref="Q65:R65"/>
    <mergeCell ref="S65:T65"/>
    <mergeCell ref="U65:V65"/>
    <mergeCell ref="W65:X65"/>
    <mergeCell ref="Y65:Z65"/>
    <mergeCell ref="AA65:AB65"/>
    <mergeCell ref="AC65:AD65"/>
    <mergeCell ref="Q64:R64"/>
    <mergeCell ref="S64:T64"/>
    <mergeCell ref="U64:V64"/>
    <mergeCell ref="W64:X64"/>
    <mergeCell ref="Y64:Z64"/>
    <mergeCell ref="AA64:AB64"/>
    <mergeCell ref="AE65:AF65"/>
    <mergeCell ref="AI65:AJ65"/>
    <mergeCell ref="Q63:R63"/>
    <mergeCell ref="S63:T63"/>
    <mergeCell ref="U63:V63"/>
    <mergeCell ref="W63:X63"/>
    <mergeCell ref="Y63:Z63"/>
    <mergeCell ref="AA63:AB63"/>
    <mergeCell ref="AC63:AD63"/>
    <mergeCell ref="AE63:AF63"/>
    <mergeCell ref="AI63:AJ63"/>
    <mergeCell ref="Q62:R62"/>
    <mergeCell ref="S62:T62"/>
    <mergeCell ref="U62:V62"/>
    <mergeCell ref="W62:X62"/>
    <mergeCell ref="Y62:Z62"/>
    <mergeCell ref="AA62:AB62"/>
    <mergeCell ref="AC62:AD62"/>
    <mergeCell ref="AE62:AF62"/>
    <mergeCell ref="AI62:AJ62"/>
    <mergeCell ref="AC60:AD60"/>
    <mergeCell ref="AE60:AF60"/>
    <mergeCell ref="AI60:AJ60"/>
    <mergeCell ref="Q61:R61"/>
    <mergeCell ref="S61:T61"/>
    <mergeCell ref="U61:V61"/>
    <mergeCell ref="W61:X61"/>
    <mergeCell ref="Y61:Z61"/>
    <mergeCell ref="AA61:AB61"/>
    <mergeCell ref="AC61:AD61"/>
    <mergeCell ref="Q60:R60"/>
    <mergeCell ref="S60:T60"/>
    <mergeCell ref="U60:V60"/>
    <mergeCell ref="W60:X60"/>
    <mergeCell ref="Y60:Z60"/>
    <mergeCell ref="AA60:AB60"/>
    <mergeCell ref="AE61:AF61"/>
    <mergeCell ref="AI61:AJ61"/>
    <mergeCell ref="Q59:R59"/>
    <mergeCell ref="S59:T59"/>
    <mergeCell ref="U59:V59"/>
    <mergeCell ref="W59:X59"/>
    <mergeCell ref="Y59:Z59"/>
    <mergeCell ref="AA59:AB59"/>
    <mergeCell ref="AC59:AD59"/>
    <mergeCell ref="AE59:AF59"/>
    <mergeCell ref="AI59:AJ59"/>
    <mergeCell ref="Q58:R58"/>
    <mergeCell ref="S58:T58"/>
    <mergeCell ref="U58:V58"/>
    <mergeCell ref="W58:X58"/>
    <mergeCell ref="Y58:Z58"/>
    <mergeCell ref="AA58:AB58"/>
    <mergeCell ref="AC58:AD58"/>
    <mergeCell ref="AE58:AF58"/>
    <mergeCell ref="AI58:AJ58"/>
    <mergeCell ref="AC56:AD56"/>
    <mergeCell ref="AE56:AF56"/>
    <mergeCell ref="AI56:AJ56"/>
    <mergeCell ref="Q57:R57"/>
    <mergeCell ref="S57:T57"/>
    <mergeCell ref="U57:V57"/>
    <mergeCell ref="W57:X57"/>
    <mergeCell ref="Y57:Z57"/>
    <mergeCell ref="AA57:AB57"/>
    <mergeCell ref="AC57:AD57"/>
    <mergeCell ref="Q56:R56"/>
    <mergeCell ref="S56:T56"/>
    <mergeCell ref="U56:V56"/>
    <mergeCell ref="W56:X56"/>
    <mergeCell ref="Y56:Z56"/>
    <mergeCell ref="AA56:AB56"/>
    <mergeCell ref="AE57:AF57"/>
    <mergeCell ref="AI57:AJ57"/>
    <mergeCell ref="Q55:R55"/>
    <mergeCell ref="S55:T55"/>
    <mergeCell ref="U55:V55"/>
    <mergeCell ref="W55:X55"/>
    <mergeCell ref="Y55:Z55"/>
    <mergeCell ref="AA55:AB55"/>
    <mergeCell ref="AC55:AD55"/>
    <mergeCell ref="AE55:AF55"/>
    <mergeCell ref="AI55:AJ55"/>
    <mergeCell ref="Q54:R54"/>
    <mergeCell ref="S54:T54"/>
    <mergeCell ref="U54:V54"/>
    <mergeCell ref="W54:X54"/>
    <mergeCell ref="Y54:Z54"/>
    <mergeCell ref="AA54:AB54"/>
    <mergeCell ref="AC54:AD54"/>
    <mergeCell ref="AE54:AF54"/>
    <mergeCell ref="AI54:AJ54"/>
    <mergeCell ref="AC52:AD52"/>
    <mergeCell ref="AE52:AF52"/>
    <mergeCell ref="AI52:AJ52"/>
    <mergeCell ref="Q53:R53"/>
    <mergeCell ref="S53:T53"/>
    <mergeCell ref="U53:V53"/>
    <mergeCell ref="W53:X53"/>
    <mergeCell ref="Y53:Z53"/>
    <mergeCell ref="AA53:AB53"/>
    <mergeCell ref="AC53:AD53"/>
    <mergeCell ref="Q52:R52"/>
    <mergeCell ref="S52:T52"/>
    <mergeCell ref="U52:V52"/>
    <mergeCell ref="W52:X52"/>
    <mergeCell ref="Y52:Z52"/>
    <mergeCell ref="AA52:AB52"/>
    <mergeCell ref="AE53:AF53"/>
    <mergeCell ref="AI53:AJ53"/>
    <mergeCell ref="Q51:R51"/>
    <mergeCell ref="S51:T51"/>
    <mergeCell ref="U51:V51"/>
    <mergeCell ref="W51:X51"/>
    <mergeCell ref="Y51:Z51"/>
    <mergeCell ref="AA51:AB51"/>
    <mergeCell ref="AC51:AD51"/>
    <mergeCell ref="AE51:AF51"/>
    <mergeCell ref="AI51:AJ51"/>
    <mergeCell ref="Q50:R50"/>
    <mergeCell ref="S50:T50"/>
    <mergeCell ref="U50:V50"/>
    <mergeCell ref="W50:X50"/>
    <mergeCell ref="Y50:Z50"/>
    <mergeCell ref="AA50:AB50"/>
    <mergeCell ref="AC50:AD50"/>
    <mergeCell ref="AE50:AF50"/>
    <mergeCell ref="AI50:AJ50"/>
    <mergeCell ref="AC48:AD48"/>
    <mergeCell ref="AE48:AF48"/>
    <mergeCell ref="AI48:AJ48"/>
    <mergeCell ref="Q49:R49"/>
    <mergeCell ref="S49:T49"/>
    <mergeCell ref="U49:V49"/>
    <mergeCell ref="W49:X49"/>
    <mergeCell ref="Y49:Z49"/>
    <mergeCell ref="AA49:AB49"/>
    <mergeCell ref="AC49:AD49"/>
    <mergeCell ref="Q48:R48"/>
    <mergeCell ref="S48:T48"/>
    <mergeCell ref="U48:V48"/>
    <mergeCell ref="W48:X48"/>
    <mergeCell ref="Y48:Z48"/>
    <mergeCell ref="AA48:AB48"/>
    <mergeCell ref="AE49:AF49"/>
    <mergeCell ref="AI49:AJ49"/>
    <mergeCell ref="Q47:R47"/>
    <mergeCell ref="S47:T47"/>
    <mergeCell ref="U47:V47"/>
    <mergeCell ref="W47:X47"/>
    <mergeCell ref="Y47:Z47"/>
    <mergeCell ref="AA47:AB47"/>
    <mergeCell ref="AC47:AD47"/>
    <mergeCell ref="AE47:AF47"/>
    <mergeCell ref="AI47:AJ47"/>
    <mergeCell ref="Q46:R46"/>
    <mergeCell ref="S46:T46"/>
    <mergeCell ref="U46:V46"/>
    <mergeCell ref="W46:X46"/>
    <mergeCell ref="Y46:Z46"/>
    <mergeCell ref="AA46:AB46"/>
    <mergeCell ref="AC46:AD46"/>
    <mergeCell ref="AE46:AF46"/>
    <mergeCell ref="AI46:AJ46"/>
    <mergeCell ref="AC44:AD44"/>
    <mergeCell ref="AE44:AF44"/>
    <mergeCell ref="AI44:AJ44"/>
    <mergeCell ref="Q45:R45"/>
    <mergeCell ref="S45:T45"/>
    <mergeCell ref="U45:V45"/>
    <mergeCell ref="W45:X45"/>
    <mergeCell ref="Y45:Z45"/>
    <mergeCell ref="AA45:AB45"/>
    <mergeCell ref="AC45:AD45"/>
    <mergeCell ref="Q44:R44"/>
    <mergeCell ref="S44:T44"/>
    <mergeCell ref="U44:V44"/>
    <mergeCell ref="W44:X44"/>
    <mergeCell ref="Y44:Z44"/>
    <mergeCell ref="AA44:AB44"/>
    <mergeCell ref="AE45:AF45"/>
    <mergeCell ref="AI45:AJ45"/>
    <mergeCell ref="Q43:R43"/>
    <mergeCell ref="S43:T43"/>
    <mergeCell ref="U43:V43"/>
    <mergeCell ref="W43:X43"/>
    <mergeCell ref="Y43:Z43"/>
    <mergeCell ref="AA43:AB43"/>
    <mergeCell ref="AC43:AD43"/>
    <mergeCell ref="AE43:AF43"/>
    <mergeCell ref="AI43:AJ43"/>
    <mergeCell ref="Q42:R42"/>
    <mergeCell ref="S42:T42"/>
    <mergeCell ref="U42:V42"/>
    <mergeCell ref="W42:X42"/>
    <mergeCell ref="Y42:Z42"/>
    <mergeCell ref="AA42:AB42"/>
    <mergeCell ref="AC42:AD42"/>
    <mergeCell ref="AE42:AF42"/>
    <mergeCell ref="AI42:AJ42"/>
    <mergeCell ref="AC40:AD40"/>
    <mergeCell ref="AE40:AF40"/>
    <mergeCell ref="AI40:AJ40"/>
    <mergeCell ref="Q41:R41"/>
    <mergeCell ref="S41:T41"/>
    <mergeCell ref="U41:V41"/>
    <mergeCell ref="W41:X41"/>
    <mergeCell ref="Y41:Z41"/>
    <mergeCell ref="AA41:AB41"/>
    <mergeCell ref="AC41:AD41"/>
    <mergeCell ref="Q40:R40"/>
    <mergeCell ref="S40:T40"/>
    <mergeCell ref="U40:V40"/>
    <mergeCell ref="W40:X40"/>
    <mergeCell ref="Y40:Z40"/>
    <mergeCell ref="AA40:AB40"/>
    <mergeCell ref="AE41:AF41"/>
    <mergeCell ref="AI41:AJ41"/>
    <mergeCell ref="Q39:R39"/>
    <mergeCell ref="S39:T39"/>
    <mergeCell ref="U39:V39"/>
    <mergeCell ref="W39:X39"/>
    <mergeCell ref="Y39:Z39"/>
    <mergeCell ref="AA39:AB39"/>
    <mergeCell ref="AC39:AD39"/>
    <mergeCell ref="AE39:AF39"/>
    <mergeCell ref="AI39:AJ39"/>
    <mergeCell ref="Q38:R38"/>
    <mergeCell ref="S38:T38"/>
    <mergeCell ref="U38:V38"/>
    <mergeCell ref="W38:X38"/>
    <mergeCell ref="Y38:Z38"/>
    <mergeCell ref="AA38:AB38"/>
    <mergeCell ref="AC38:AD38"/>
    <mergeCell ref="AE38:AF38"/>
    <mergeCell ref="AI38:AJ38"/>
    <mergeCell ref="AC36:AD36"/>
    <mergeCell ref="AE36:AF36"/>
    <mergeCell ref="AI36:AJ36"/>
    <mergeCell ref="Q37:R37"/>
    <mergeCell ref="S37:T37"/>
    <mergeCell ref="U37:V37"/>
    <mergeCell ref="W37:X37"/>
    <mergeCell ref="Y37:Z37"/>
    <mergeCell ref="AA37:AB37"/>
    <mergeCell ref="AC37:AD37"/>
    <mergeCell ref="Q36:R36"/>
    <mergeCell ref="S36:T36"/>
    <mergeCell ref="U36:V36"/>
    <mergeCell ref="W36:X36"/>
    <mergeCell ref="Y36:Z36"/>
    <mergeCell ref="AA36:AB36"/>
    <mergeCell ref="AE37:AF37"/>
    <mergeCell ref="AI37:AJ37"/>
    <mergeCell ref="Q35:R35"/>
    <mergeCell ref="S35:T35"/>
    <mergeCell ref="U35:V35"/>
    <mergeCell ref="W35:X35"/>
    <mergeCell ref="Y35:Z35"/>
    <mergeCell ref="AA35:AB35"/>
    <mergeCell ref="AC35:AD35"/>
    <mergeCell ref="AE35:AF35"/>
    <mergeCell ref="AI35:AJ35"/>
    <mergeCell ref="Q34:R34"/>
    <mergeCell ref="S34:T34"/>
    <mergeCell ref="U34:V34"/>
    <mergeCell ref="W34:X34"/>
    <mergeCell ref="Y34:Z34"/>
    <mergeCell ref="AA34:AB34"/>
    <mergeCell ref="AC34:AD34"/>
    <mergeCell ref="AE34:AF34"/>
    <mergeCell ref="AI34:AJ34"/>
    <mergeCell ref="AC32:AD32"/>
    <mergeCell ref="AE32:AF32"/>
    <mergeCell ref="AI32:AJ32"/>
    <mergeCell ref="Q33:R33"/>
    <mergeCell ref="S33:T33"/>
    <mergeCell ref="U33:V33"/>
    <mergeCell ref="W33:X33"/>
    <mergeCell ref="Y33:Z33"/>
    <mergeCell ref="AA33:AB33"/>
    <mergeCell ref="AC33:AD33"/>
    <mergeCell ref="Q32:R32"/>
    <mergeCell ref="S32:T32"/>
    <mergeCell ref="U32:V32"/>
    <mergeCell ref="W32:X32"/>
    <mergeCell ref="Y32:Z32"/>
    <mergeCell ref="AA32:AB32"/>
    <mergeCell ref="AE33:AF33"/>
    <mergeCell ref="AI33:AJ33"/>
    <mergeCell ref="Q31:R31"/>
    <mergeCell ref="S31:T31"/>
    <mergeCell ref="U31:V31"/>
    <mergeCell ref="W31:X31"/>
    <mergeCell ref="Y31:Z31"/>
    <mergeCell ref="AA31:AB31"/>
    <mergeCell ref="AC31:AD31"/>
    <mergeCell ref="AE31:AF31"/>
    <mergeCell ref="AI31:AJ31"/>
    <mergeCell ref="Q30:R30"/>
    <mergeCell ref="S30:T30"/>
    <mergeCell ref="U30:V30"/>
    <mergeCell ref="W30:X30"/>
    <mergeCell ref="Y30:Z30"/>
    <mergeCell ref="AA30:AB30"/>
    <mergeCell ref="AC30:AD30"/>
    <mergeCell ref="AE30:AF30"/>
    <mergeCell ref="AI30:AJ30"/>
    <mergeCell ref="AC28:AD28"/>
    <mergeCell ref="AE28:AF28"/>
    <mergeCell ref="AI28:AJ28"/>
    <mergeCell ref="Q29:R29"/>
    <mergeCell ref="S29:T29"/>
    <mergeCell ref="U29:V29"/>
    <mergeCell ref="W29:X29"/>
    <mergeCell ref="Y29:Z29"/>
    <mergeCell ref="AA29:AB29"/>
    <mergeCell ref="AC29:AD29"/>
    <mergeCell ref="Q28:R28"/>
    <mergeCell ref="S28:T28"/>
    <mergeCell ref="U28:V28"/>
    <mergeCell ref="W28:X28"/>
    <mergeCell ref="Y28:Z28"/>
    <mergeCell ref="AA28:AB28"/>
    <mergeCell ref="AE29:AF29"/>
    <mergeCell ref="AI29:AJ29"/>
    <mergeCell ref="Q27:R27"/>
    <mergeCell ref="S27:T27"/>
    <mergeCell ref="U27:V27"/>
    <mergeCell ref="W27:X27"/>
    <mergeCell ref="Y27:Z27"/>
    <mergeCell ref="AA27:AB27"/>
    <mergeCell ref="AC27:AD27"/>
    <mergeCell ref="AE27:AF27"/>
    <mergeCell ref="AI27:AJ27"/>
    <mergeCell ref="Q26:R26"/>
    <mergeCell ref="S26:T26"/>
    <mergeCell ref="U26:V26"/>
    <mergeCell ref="W26:X26"/>
    <mergeCell ref="Y26:Z26"/>
    <mergeCell ref="AA26:AB26"/>
    <mergeCell ref="AC26:AD26"/>
    <mergeCell ref="AE26:AF26"/>
    <mergeCell ref="AI26:AJ26"/>
    <mergeCell ref="AC24:AD24"/>
    <mergeCell ref="AE24:AF24"/>
    <mergeCell ref="AI24:AJ24"/>
    <mergeCell ref="Q25:R25"/>
    <mergeCell ref="S25:T25"/>
    <mergeCell ref="U25:V25"/>
    <mergeCell ref="W25:X25"/>
    <mergeCell ref="Y25:Z25"/>
    <mergeCell ref="AA25:AB25"/>
    <mergeCell ref="AC25:AD25"/>
    <mergeCell ref="Q24:R24"/>
    <mergeCell ref="S24:T24"/>
    <mergeCell ref="U24:V24"/>
    <mergeCell ref="W24:X24"/>
    <mergeCell ref="Y24:Z24"/>
    <mergeCell ref="AA24:AB24"/>
    <mergeCell ref="AE25:AF25"/>
    <mergeCell ref="AI25:AJ25"/>
    <mergeCell ref="Q23:R23"/>
    <mergeCell ref="S23:T23"/>
    <mergeCell ref="U23:V23"/>
    <mergeCell ref="W23:X23"/>
    <mergeCell ref="Y23:Z23"/>
    <mergeCell ref="AA23:AB23"/>
    <mergeCell ref="AC23:AD23"/>
    <mergeCell ref="AE23:AF23"/>
    <mergeCell ref="AI23:AJ23"/>
    <mergeCell ref="Q22:R22"/>
    <mergeCell ref="S22:T22"/>
    <mergeCell ref="U22:V22"/>
    <mergeCell ref="W22:X22"/>
    <mergeCell ref="Y22:Z22"/>
    <mergeCell ref="AA22:AB22"/>
    <mergeCell ref="AC22:AD22"/>
    <mergeCell ref="AE22:AF22"/>
    <mergeCell ref="AI22:AJ22"/>
    <mergeCell ref="AC20:AD20"/>
    <mergeCell ref="AE20:AF20"/>
    <mergeCell ref="AI20:AJ20"/>
    <mergeCell ref="Q21:R21"/>
    <mergeCell ref="S21:T21"/>
    <mergeCell ref="U21:V21"/>
    <mergeCell ref="W21:X21"/>
    <mergeCell ref="Y21:Z21"/>
    <mergeCell ref="AA21:AB21"/>
    <mergeCell ref="AC21:AD21"/>
    <mergeCell ref="Q20:R20"/>
    <mergeCell ref="S20:T20"/>
    <mergeCell ref="U20:V20"/>
    <mergeCell ref="W20:X20"/>
    <mergeCell ref="Y20:Z20"/>
    <mergeCell ref="AA20:AB20"/>
    <mergeCell ref="AE21:AF21"/>
    <mergeCell ref="AI21:AJ21"/>
    <mergeCell ref="Q19:R19"/>
    <mergeCell ref="S19:T19"/>
    <mergeCell ref="U19:V19"/>
    <mergeCell ref="W19:X19"/>
    <mergeCell ref="Y19:Z19"/>
    <mergeCell ref="AA19:AB19"/>
    <mergeCell ref="AC19:AD19"/>
    <mergeCell ref="AE19:AF19"/>
    <mergeCell ref="AI19:AJ19"/>
    <mergeCell ref="Q18:R18"/>
    <mergeCell ref="S18:T18"/>
    <mergeCell ref="U18:V18"/>
    <mergeCell ref="W18:X18"/>
    <mergeCell ref="Y18:Z18"/>
    <mergeCell ref="AA18:AB18"/>
    <mergeCell ref="AC18:AD18"/>
    <mergeCell ref="AE18:AF18"/>
    <mergeCell ref="AI18:AJ18"/>
    <mergeCell ref="AC16:AD16"/>
    <mergeCell ref="AE16:AF16"/>
    <mergeCell ref="AI16:AJ16"/>
    <mergeCell ref="Q17:R17"/>
    <mergeCell ref="S17:T17"/>
    <mergeCell ref="U17:V17"/>
    <mergeCell ref="W17:X17"/>
    <mergeCell ref="Y17:Z17"/>
    <mergeCell ref="AA17:AB17"/>
    <mergeCell ref="AC17:AD17"/>
    <mergeCell ref="Q16:R16"/>
    <mergeCell ref="S16:T16"/>
    <mergeCell ref="U16:V16"/>
    <mergeCell ref="W16:X16"/>
    <mergeCell ref="Y16:Z16"/>
    <mergeCell ref="AA16:AB16"/>
    <mergeCell ref="AE17:AF17"/>
    <mergeCell ref="AI17:AJ17"/>
    <mergeCell ref="Q15:R15"/>
    <mergeCell ref="S15:T15"/>
    <mergeCell ref="U15:V15"/>
    <mergeCell ref="W15:X15"/>
    <mergeCell ref="Y15:Z15"/>
    <mergeCell ref="AA15:AB15"/>
    <mergeCell ref="AC15:AD15"/>
    <mergeCell ref="AE15:AF15"/>
    <mergeCell ref="AI15:AJ15"/>
    <mergeCell ref="Q14:R14"/>
    <mergeCell ref="S14:T14"/>
    <mergeCell ref="U14:V14"/>
    <mergeCell ref="W14:X14"/>
    <mergeCell ref="Y14:Z14"/>
    <mergeCell ref="AA14:AB14"/>
    <mergeCell ref="AC14:AD14"/>
    <mergeCell ref="AE14:AF14"/>
    <mergeCell ref="AI14:AJ14"/>
    <mergeCell ref="AC12:AD12"/>
    <mergeCell ref="AE12:AF12"/>
    <mergeCell ref="AI12:AJ12"/>
    <mergeCell ref="Q13:R13"/>
    <mergeCell ref="S13:T13"/>
    <mergeCell ref="U13:V13"/>
    <mergeCell ref="W13:X13"/>
    <mergeCell ref="Y13:Z13"/>
    <mergeCell ref="AA13:AB13"/>
    <mergeCell ref="AC13:AD13"/>
    <mergeCell ref="Q12:R12"/>
    <mergeCell ref="S12:T12"/>
    <mergeCell ref="U12:V12"/>
    <mergeCell ref="W12:X12"/>
    <mergeCell ref="Y12:Z12"/>
    <mergeCell ref="AA12:AB12"/>
    <mergeCell ref="AE13:AF13"/>
    <mergeCell ref="AI13:AJ13"/>
    <mergeCell ref="Q11:R11"/>
    <mergeCell ref="S11:T11"/>
    <mergeCell ref="U11:V11"/>
    <mergeCell ref="W11:X11"/>
    <mergeCell ref="Y11:Z11"/>
    <mergeCell ref="AA11:AB11"/>
    <mergeCell ref="AC11:AD11"/>
    <mergeCell ref="AE11:AF11"/>
    <mergeCell ref="AI11:AJ11"/>
    <mergeCell ref="Q10:R10"/>
    <mergeCell ref="S10:T10"/>
    <mergeCell ref="U10:V10"/>
    <mergeCell ref="W10:X10"/>
    <mergeCell ref="Y10:Z10"/>
    <mergeCell ref="AA10:AB10"/>
    <mergeCell ref="AC10:AD10"/>
    <mergeCell ref="AE10:AF10"/>
    <mergeCell ref="AI10:AJ10"/>
    <mergeCell ref="AC8:AD8"/>
    <mergeCell ref="AE8:AF8"/>
    <mergeCell ref="AI8:AJ8"/>
    <mergeCell ref="Q9:R9"/>
    <mergeCell ref="S9:T9"/>
    <mergeCell ref="U9:V9"/>
    <mergeCell ref="W9:X9"/>
    <mergeCell ref="Y9:Z9"/>
    <mergeCell ref="AA9:AB9"/>
    <mergeCell ref="AC9:AD9"/>
    <mergeCell ref="Q8:R8"/>
    <mergeCell ref="S8:T8"/>
    <mergeCell ref="U8:V8"/>
    <mergeCell ref="W8:X8"/>
    <mergeCell ref="Y8:Z8"/>
    <mergeCell ref="AA8:AB8"/>
    <mergeCell ref="AE9:AF9"/>
    <mergeCell ref="AI9:AJ9"/>
    <mergeCell ref="AM5:AM7"/>
    <mergeCell ref="L6:L7"/>
    <mergeCell ref="M6:M7"/>
    <mergeCell ref="N6:N7"/>
    <mergeCell ref="O6:O7"/>
    <mergeCell ref="P6:P7"/>
    <mergeCell ref="Q6:R7"/>
    <mergeCell ref="AE6:AF7"/>
    <mergeCell ref="AG6:AG7"/>
    <mergeCell ref="AH6:AH7"/>
    <mergeCell ref="AI6:AJ7"/>
    <mergeCell ref="AK6:AK7"/>
    <mergeCell ref="AL6:AL7"/>
    <mergeCell ref="S6:T7"/>
    <mergeCell ref="U6:V7"/>
    <mergeCell ref="W6:X7"/>
    <mergeCell ref="Y6:Z7"/>
    <mergeCell ref="AA6:AB7"/>
    <mergeCell ref="AC6:AD7"/>
    <mergeCell ref="A5:A7"/>
    <mergeCell ref="B5:B7"/>
    <mergeCell ref="C5:C7"/>
    <mergeCell ref="D5:D7"/>
    <mergeCell ref="E5:E7"/>
    <mergeCell ref="F5:F7"/>
    <mergeCell ref="H5:H7"/>
    <mergeCell ref="I5:P5"/>
    <mergeCell ref="Q5:AL5"/>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modelos taxas</vt:lpstr>
      <vt:lpstr>Dados à Preencher</vt:lpstr>
      <vt:lpstr>Custo Importação Direta</vt:lpstr>
      <vt:lpstr>Custo Internado Itens</vt:lpstr>
      <vt:lpstr>Tabelas portos</vt:lpstr>
      <vt:lpstr>assessoria- realizado por item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note1</dc:creator>
  <cp:lastModifiedBy>Afianci Global Networking</cp:lastModifiedBy>
  <cp:lastPrinted>2024-03-05T19:55:59Z</cp:lastPrinted>
  <dcterms:created xsi:type="dcterms:W3CDTF">2021-12-29T13:34:08Z</dcterms:created>
  <dcterms:modified xsi:type="dcterms:W3CDTF">2025-05-27T16:23:32Z</dcterms:modified>
</cp:coreProperties>
</file>